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94" i="1"/>
  <c r="B125" l="1"/>
  <c r="B93"/>
  <c r="B47"/>
  <c r="B6"/>
  <c r="B61"/>
  <c r="B59"/>
  <c r="B58"/>
  <c r="B86"/>
  <c r="F31"/>
  <c r="F85"/>
  <c r="B90"/>
  <c r="F93"/>
  <c r="B9"/>
  <c r="F102"/>
  <c r="F107"/>
  <c r="F36"/>
  <c r="F30"/>
  <c r="F91" l="1"/>
  <c r="B87"/>
  <c r="B82"/>
  <c r="F48"/>
  <c r="F46"/>
  <c r="F100"/>
  <c r="F47"/>
  <c r="F18"/>
  <c r="B97"/>
  <c r="F54"/>
  <c r="F50"/>
  <c r="B62"/>
  <c r="F104" l="1"/>
  <c r="B113" l="1"/>
  <c r="F43" l="1"/>
  <c r="F101"/>
  <c r="F89"/>
  <c r="B98"/>
  <c r="F95"/>
  <c r="B71"/>
  <c r="F64"/>
  <c r="F59"/>
  <c r="F41"/>
  <c r="B80"/>
  <c r="F109"/>
  <c r="F42"/>
  <c r="F60"/>
  <c r="B84"/>
  <c r="F120"/>
  <c r="F117"/>
  <c r="F92"/>
  <c r="F88"/>
  <c r="F86"/>
  <c r="B69"/>
  <c r="F56"/>
  <c r="B127"/>
  <c r="B7"/>
  <c r="F49"/>
  <c r="F121"/>
  <c r="B57"/>
  <c r="B122"/>
  <c r="F53"/>
  <c r="B104"/>
  <c r="F122"/>
  <c r="B52"/>
  <c r="B37"/>
  <c r="F38"/>
  <c r="B91" l="1"/>
  <c r="F119" l="1"/>
  <c r="B115" l="1"/>
  <c r="B114"/>
  <c r="B49"/>
  <c r="B46"/>
  <c r="B41"/>
  <c r="B45"/>
  <c r="B120"/>
  <c r="B119"/>
  <c r="F7"/>
  <c r="F84"/>
  <c r="B53"/>
  <c r="B42"/>
  <c r="F28"/>
  <c r="F52" l="1"/>
  <c r="F61"/>
  <c r="B23"/>
  <c r="B22"/>
  <c r="B88"/>
  <c r="F106"/>
  <c r="B111"/>
  <c r="F35"/>
  <c r="F57"/>
  <c r="F39"/>
  <c r="F44"/>
  <c r="B83"/>
  <c r="F118"/>
  <c r="B36"/>
  <c r="F96" l="1"/>
  <c r="F94"/>
  <c r="F45"/>
  <c r="F10"/>
  <c r="B95"/>
  <c r="B70"/>
  <c r="F14"/>
  <c r="F124"/>
  <c r="F103"/>
  <c r="F51" l="1"/>
  <c r="B85"/>
  <c r="B117"/>
  <c r="F22"/>
  <c r="B107"/>
  <c r="F19"/>
  <c r="B96"/>
  <c r="B118"/>
  <c r="F15"/>
  <c r="F16"/>
  <c r="F17"/>
  <c r="F23"/>
  <c r="B64"/>
  <c r="B63"/>
  <c r="F24"/>
  <c r="F13"/>
  <c r="F12"/>
  <c r="F58" l="1"/>
  <c r="B110"/>
  <c r="F6"/>
  <c r="B54"/>
  <c r="F62"/>
  <c r="B106"/>
  <c r="F111" l="1"/>
  <c r="F40"/>
  <c r="B67"/>
  <c r="B72"/>
  <c r="F108"/>
  <c r="F113"/>
  <c r="F63"/>
  <c r="F99"/>
  <c r="B121"/>
  <c r="F79"/>
  <c r="B48"/>
  <c r="F77" l="1"/>
  <c r="B50"/>
  <c r="F27"/>
  <c r="B60"/>
  <c r="F82"/>
  <c r="F81"/>
  <c r="F80"/>
  <c r="F34"/>
  <c r="F32"/>
  <c r="B43"/>
  <c r="F21"/>
  <c r="B24" l="1"/>
  <c r="B44"/>
  <c r="B40"/>
  <c r="B101"/>
  <c r="F9"/>
  <c r="B39"/>
  <c r="B38"/>
  <c r="B55"/>
  <c r="B35" l="1"/>
  <c r="B31"/>
  <c r="B19"/>
  <c r="B16"/>
  <c r="B77"/>
  <c r="B56"/>
  <c r="F8"/>
  <c r="F76" l="1"/>
  <c r="F78"/>
  <c r="B92"/>
  <c r="B129"/>
  <c r="F123" l="1"/>
  <c r="F11" l="1"/>
  <c r="F33"/>
  <c r="B21"/>
  <c r="B30"/>
  <c r="B89"/>
  <c r="F105"/>
  <c r="B100" l="1"/>
  <c r="B105"/>
  <c r="B73"/>
  <c r="B108"/>
  <c r="B10" l="1"/>
  <c r="B76"/>
  <c r="B81"/>
  <c r="B65"/>
  <c r="B102" l="1"/>
  <c r="B68" l="1"/>
  <c r="B128"/>
  <c r="F20"/>
  <c r="F90" l="1"/>
  <c r="B8" l="1"/>
  <c r="B32"/>
  <c r="F110"/>
  <c r="B116" l="1"/>
  <c r="B75"/>
  <c r="B66" l="1"/>
  <c r="F98"/>
  <c r="F126"/>
  <c r="B109"/>
  <c r="F116" l="1"/>
  <c r="F125"/>
  <c r="F97" l="1"/>
  <c r="B74" l="1"/>
  <c r="B103"/>
  <c r="F115"/>
  <c r="F29" l="1"/>
  <c r="F37" l="1"/>
  <c r="B17"/>
  <c r="B124"/>
  <c r="B11"/>
  <c r="B126"/>
  <c r="F65" l="1"/>
  <c r="B99" l="1"/>
  <c r="B78"/>
  <c r="B18"/>
  <c r="F112" l="1"/>
  <c r="B28"/>
  <c r="B27"/>
  <c r="B79"/>
  <c r="B33" l="1"/>
  <c r="B12" l="1"/>
  <c r="B13" l="1"/>
  <c r="B123" l="1"/>
  <c r="F55" l="1"/>
  <c r="B26" l="1"/>
  <c r="B20" l="1"/>
  <c r="B112"/>
  <c r="F114" l="1"/>
  <c r="B15" l="1"/>
  <c r="F68" l="1"/>
  <c r="F73"/>
  <c r="B51" l="1"/>
  <c r="B14" l="1"/>
  <c r="B29"/>
  <c r="B25"/>
  <c r="F69" l="1"/>
  <c r="F72"/>
  <c r="F70" l="1"/>
  <c r="B34"/>
  <c r="F25" l="1"/>
  <c r="F75" l="1"/>
  <c r="F26" l="1"/>
  <c r="F67" l="1"/>
  <c r="F74" l="1"/>
  <c r="F66" l="1"/>
  <c r="F71" l="1"/>
  <c r="F83" l="1"/>
</calcChain>
</file>

<file path=xl/sharedStrings.xml><?xml version="1.0" encoding="utf-8"?>
<sst xmlns="http://schemas.openxmlformats.org/spreadsheetml/2006/main" count="456" uniqueCount="383">
  <si>
    <t xml:space="preserve">                  Частное торговое унитарное предприятие </t>
  </si>
  <si>
    <t xml:space="preserve">              «Металлрезерв»</t>
  </si>
  <si>
    <t>Наименование</t>
  </si>
  <si>
    <t>Кол-во</t>
  </si>
  <si>
    <t>Примечание</t>
  </si>
  <si>
    <t>Ф12 ст.У10А</t>
  </si>
  <si>
    <t>Ф30 ст.У8А</t>
  </si>
  <si>
    <t>Ф50 ст.У10А</t>
  </si>
  <si>
    <t>Ф60 ст.У8А</t>
  </si>
  <si>
    <t>Ф70 ст.У8А</t>
  </si>
  <si>
    <t>Ф80 ст.У8А</t>
  </si>
  <si>
    <t>Ф90 ст.У8А</t>
  </si>
  <si>
    <t>Ф90 ст.У10А</t>
  </si>
  <si>
    <t>Ф30 ст.9ХС</t>
  </si>
  <si>
    <t>Ф50 ст.9ХС</t>
  </si>
  <si>
    <t>Ф70 ст.9ХС</t>
  </si>
  <si>
    <t>Ф80 ст.9ХС</t>
  </si>
  <si>
    <t>Ф25 ст.ХВГ</t>
  </si>
  <si>
    <t>Ф50 ст.ХВГ</t>
  </si>
  <si>
    <t>Ф70 ст.ХВГ</t>
  </si>
  <si>
    <t>Ф80 ст.ХВГ</t>
  </si>
  <si>
    <t>Ф70 ст.ШХ-15</t>
  </si>
  <si>
    <t>Ф80 ст.Х12МФ</t>
  </si>
  <si>
    <t>Ф50 ст.4Х5МФС</t>
  </si>
  <si>
    <t>Ф165 ст.12Х2НВФА</t>
  </si>
  <si>
    <t>2,2м</t>
  </si>
  <si>
    <t>Ф50 ст.У8А</t>
  </si>
  <si>
    <t>Ф48 ст.40ХН</t>
  </si>
  <si>
    <t>Ф70 ст.У10А</t>
  </si>
  <si>
    <t>Ф30 ст.Х12МФ</t>
  </si>
  <si>
    <t>под заказ</t>
  </si>
  <si>
    <t>Ф60 ст.У10А</t>
  </si>
  <si>
    <t>Ф100 ст.ШХ-15</t>
  </si>
  <si>
    <t>Ф100 ст.4Х5В2ФС</t>
  </si>
  <si>
    <t>Ф75 ст.У10А</t>
  </si>
  <si>
    <t>Пок.120х130 ст.5ХНМ</t>
  </si>
  <si>
    <t>Пок.130х130 ст.5ХНМ</t>
  </si>
  <si>
    <t>Пок.130х135 ст.5ХНМ</t>
  </si>
  <si>
    <t>Пок.130х140 ст.5ХНМ</t>
  </si>
  <si>
    <t>Пок.140х140 ст.5ХНМ</t>
  </si>
  <si>
    <t>Пок.125х140 ст.5ХНМ</t>
  </si>
  <si>
    <t>300/360</t>
  </si>
  <si>
    <t>Ф100 ст.4Х4ВМФС</t>
  </si>
  <si>
    <t>Ф15 ст.Х12МФ</t>
  </si>
  <si>
    <t>Ф130 ст.10895(Э12)</t>
  </si>
  <si>
    <t>4,05/3,84</t>
  </si>
  <si>
    <t>Ф90 ст.4Х5В2ФС</t>
  </si>
  <si>
    <t>Ф130 ст.ХВГ</t>
  </si>
  <si>
    <t>5м.</t>
  </si>
  <si>
    <t>Ф12 ст.У8А</t>
  </si>
  <si>
    <t>пол.20х500 ст.40Х</t>
  </si>
  <si>
    <t>пол.30х500 ст.40Х</t>
  </si>
  <si>
    <t>3-3,1</t>
  </si>
  <si>
    <t>Ф20 ст.У8А</t>
  </si>
  <si>
    <t>Ф16 ст.У8А</t>
  </si>
  <si>
    <t>Ф25 ст.У8А</t>
  </si>
  <si>
    <t xml:space="preserve">Ф40 ст.У8А </t>
  </si>
  <si>
    <t>Ф40 ст.9ХС</t>
  </si>
  <si>
    <t>Ф80 ст.ШХ-15</t>
  </si>
  <si>
    <t>Ф340 ст.5ХНМ</t>
  </si>
  <si>
    <t xml:space="preserve">Ф20 ст.9ХС </t>
  </si>
  <si>
    <t>Ф45 ст.У8А</t>
  </si>
  <si>
    <t>www.metallrezerv.by</t>
  </si>
  <si>
    <t>Ф60 ст.Х12МФ</t>
  </si>
  <si>
    <t>2-3м</t>
  </si>
  <si>
    <t>2,3-4м</t>
  </si>
  <si>
    <t xml:space="preserve">Ф150 ст.У8А </t>
  </si>
  <si>
    <t>Ф170 ст.У8А</t>
  </si>
  <si>
    <t>Ф100 ст.У8А</t>
  </si>
  <si>
    <t>Ф120 ст.ШХ-15</t>
  </si>
  <si>
    <t>260/290</t>
  </si>
  <si>
    <t>Ф70 ст.Х12МФ</t>
  </si>
  <si>
    <t>Ф140 ст.ХВГ</t>
  </si>
  <si>
    <t>Ф135 ст.ХВГ</t>
  </si>
  <si>
    <t>1,08м</t>
  </si>
  <si>
    <t>Ф60 ст.ШХ-15</t>
  </si>
  <si>
    <t>Ф22 ст.ХВГ</t>
  </si>
  <si>
    <t>3,1/3,4/3,6/3,6</t>
  </si>
  <si>
    <t>Цена без НДС</t>
  </si>
  <si>
    <t>Ф18 ст.ХВГ</t>
  </si>
  <si>
    <t>1-1,6</t>
  </si>
  <si>
    <t>1,24/1,38/1,12</t>
  </si>
  <si>
    <t>Ф11 ст.У8А</t>
  </si>
  <si>
    <t>4-5,1</t>
  </si>
  <si>
    <t>Ф90 ст.ШХ-15</t>
  </si>
  <si>
    <t>Ф130 ст.ШХ-15</t>
  </si>
  <si>
    <t>Ф60 ст.ХВГ</t>
  </si>
  <si>
    <t>Ф50 ст.ШХ-15</t>
  </si>
  <si>
    <t>Ф40 ст.У10А</t>
  </si>
  <si>
    <t>Ф20 ст.4Х5МФС</t>
  </si>
  <si>
    <t>Ф180 ст.У8А</t>
  </si>
  <si>
    <t>Ф80 ст.4Х4ВМФС</t>
  </si>
  <si>
    <t>Ф40 ст.4Х4ВМФС</t>
  </si>
  <si>
    <t>2,6-4,1 м</t>
  </si>
  <si>
    <t>350/370</t>
  </si>
  <si>
    <t>Ф30 ст.4Х5МФС</t>
  </si>
  <si>
    <t>Ф220 ст.45</t>
  </si>
  <si>
    <t>305/320</t>
  </si>
  <si>
    <t>пол. 60х300 ст.Х12МФ</t>
  </si>
  <si>
    <t>Ф20 ст.У12А</t>
  </si>
  <si>
    <t>Ф80 ст.ШХ-15СГ</t>
  </si>
  <si>
    <t xml:space="preserve">Ф12 ст.ШХ-15 </t>
  </si>
  <si>
    <t>3,8м.</t>
  </si>
  <si>
    <t>Ф140 ст.Х12МФ</t>
  </si>
  <si>
    <t>Ф100 ст.Х12Ф1</t>
  </si>
  <si>
    <t>2,65-3,9</t>
  </si>
  <si>
    <t>2,33-4,8</t>
  </si>
  <si>
    <t>2,18/2,15/1,65/4,2</t>
  </si>
  <si>
    <t>Ф110 ст.ШХ-15</t>
  </si>
  <si>
    <t>Ф100 ст.У10А</t>
  </si>
  <si>
    <t>Ф120 ст.5ХНВ</t>
  </si>
  <si>
    <t xml:space="preserve">Ф150 ст.Х12МФ </t>
  </si>
  <si>
    <t>4,4-6</t>
  </si>
  <si>
    <t>Ф40 ст.60С2А</t>
  </si>
  <si>
    <t>Ф85 ст.4Х5МФС ков.</t>
  </si>
  <si>
    <t>1,11-1,19</t>
  </si>
  <si>
    <t>пол. 40х305 ст.Х12МФ</t>
  </si>
  <si>
    <t>2,02/0,84</t>
  </si>
  <si>
    <t>Ф70 ст.5Х3В3МФС</t>
  </si>
  <si>
    <t>Ф110 ст.10880</t>
  </si>
  <si>
    <t>2,05-3,66</t>
  </si>
  <si>
    <t>Ф65 ст.У8А</t>
  </si>
  <si>
    <t>1,7-3,8</t>
  </si>
  <si>
    <t>пол.100х50 ст.4Х5МФС</t>
  </si>
  <si>
    <t>1,5-4,47</t>
  </si>
  <si>
    <t>Ф145 ст.9ХС ков.</t>
  </si>
  <si>
    <t>квадр.50х52ст.6ХВ2С</t>
  </si>
  <si>
    <t xml:space="preserve">Ф60 ст.9ХС </t>
  </si>
  <si>
    <t>1,5-4,8</t>
  </si>
  <si>
    <t>Ф90 ст.Х12МФков.</t>
  </si>
  <si>
    <t>Ф120 ст.Х12МФков.</t>
  </si>
  <si>
    <t>4м</t>
  </si>
  <si>
    <t>2,2-4,69</t>
  </si>
  <si>
    <t>метраж</t>
  </si>
  <si>
    <t>Ф18 ст.4Х4ВМФС</t>
  </si>
  <si>
    <t>Ф90 ст.4Х4ВМФС</t>
  </si>
  <si>
    <t>Ф120 ст.ХВГ</t>
  </si>
  <si>
    <t>Ф65 ст.9ХС</t>
  </si>
  <si>
    <t>Ф45 ст.9ХС</t>
  </si>
  <si>
    <t>пол.70х550 ст.20</t>
  </si>
  <si>
    <t>Ф60 ст.ШХ-15СГ</t>
  </si>
  <si>
    <t>1,06-3,75</t>
  </si>
  <si>
    <t>Ф85 ст.ШХ-15</t>
  </si>
  <si>
    <t>2,77/2,38</t>
  </si>
  <si>
    <t>2,4-4</t>
  </si>
  <si>
    <t>Ф105 ст.ШХ-15</t>
  </si>
  <si>
    <t>Ф50 ст.4Х4ВМФС</t>
  </si>
  <si>
    <t>3-3,2</t>
  </si>
  <si>
    <t>Ф40 ст.4Х5В2ФС</t>
  </si>
  <si>
    <t xml:space="preserve">Ф165 ст.4Х5МФ1С </t>
  </si>
  <si>
    <t>Ф120 ст.4Х5МФС</t>
  </si>
  <si>
    <t>Ф12 ст.Х12Ф1</t>
  </si>
  <si>
    <t>4,1-5,0</t>
  </si>
  <si>
    <t>Ф34 ст.ШХ-15</t>
  </si>
  <si>
    <t>3,2-3,5</t>
  </si>
  <si>
    <t>Ф45 ст.ШХ-15</t>
  </si>
  <si>
    <t>1,3-4,8м</t>
  </si>
  <si>
    <t>2,31/2,77/1,1/1,1</t>
  </si>
  <si>
    <t>Ф14 ст.ШХ-15</t>
  </si>
  <si>
    <t>4-4,2</t>
  </si>
  <si>
    <t>Ф100 ст.Х12МФ</t>
  </si>
  <si>
    <t>пол. 30х150 ст.Х12МФ</t>
  </si>
  <si>
    <t>пол.80х500 ст.4Х5МФС</t>
  </si>
  <si>
    <t>пол.90х500 ст.4Х5МФС</t>
  </si>
  <si>
    <t>1,53-2</t>
  </si>
  <si>
    <t>Ф140 ст.38Х2МЮА</t>
  </si>
  <si>
    <t>Ф50 ст.4Х5В2ФС</t>
  </si>
  <si>
    <t>4,2-5</t>
  </si>
  <si>
    <t>Ф60 ст.4Х5В2ФС</t>
  </si>
  <si>
    <t>3,5-3,7</t>
  </si>
  <si>
    <t>Ф40 ст.ШХ-15</t>
  </si>
  <si>
    <t>Ф30 ст.50</t>
  </si>
  <si>
    <t>2,8-3,4</t>
  </si>
  <si>
    <t>2-4м</t>
  </si>
  <si>
    <t>Ф20 ст.40Х</t>
  </si>
  <si>
    <t>3,93-5</t>
  </si>
  <si>
    <t>4-5м</t>
  </si>
  <si>
    <t>Ф150 ст.4Х5МФС</t>
  </si>
  <si>
    <t xml:space="preserve">Ф10 ст.ШХ-15 </t>
  </si>
  <si>
    <t>Ф80 ст.4Х5МФС</t>
  </si>
  <si>
    <t>пол.25х500 ст.45</t>
  </si>
  <si>
    <t>Ф25 ст.4Х5МФС</t>
  </si>
  <si>
    <t>3280х1шт.</t>
  </si>
  <si>
    <t>пол. 40х305 ст.40х13</t>
  </si>
  <si>
    <t>пол. 60х610 ст.40х13</t>
  </si>
  <si>
    <t>пол. 70х300 ст.40х13</t>
  </si>
  <si>
    <t>пол. 80х305 ст.40х13</t>
  </si>
  <si>
    <t>Ф60 ст.4Х5МФС</t>
  </si>
  <si>
    <t>пол.30х500 ст.20</t>
  </si>
  <si>
    <t>Ф12 ст.4Х5МФС</t>
  </si>
  <si>
    <t>Ф16 ст.4Х5МФС</t>
  </si>
  <si>
    <t>пол. 50х1500 ст.40х13</t>
  </si>
  <si>
    <t>пол. 25х305 ст.40Х13</t>
  </si>
  <si>
    <t>1,79-2,2            7шт.</t>
  </si>
  <si>
    <t>пол. 20х305 ст.Х12МФ</t>
  </si>
  <si>
    <t>2500мм</t>
  </si>
  <si>
    <t>пол. 6х625 ст.9ХС</t>
  </si>
  <si>
    <t>пол.40х500 ст.20</t>
  </si>
  <si>
    <t>пол. 50х500 ст.35</t>
  </si>
  <si>
    <t xml:space="preserve">1540 мм </t>
  </si>
  <si>
    <t>пол. 110х520 ст.45</t>
  </si>
  <si>
    <t>1180 мм</t>
  </si>
  <si>
    <t>пол. 30х610 ст.Х12МФ</t>
  </si>
  <si>
    <t>пол. 8х505 ст.9ХС</t>
  </si>
  <si>
    <t>пол.60х500 ст.40Х</t>
  </si>
  <si>
    <t>Ф40 ст.5Х3В3МФС</t>
  </si>
  <si>
    <t>1,5-2м</t>
  </si>
  <si>
    <t>пол.70х100 ст.4Х5МФС</t>
  </si>
  <si>
    <t>4,88м</t>
  </si>
  <si>
    <t>Ф30 ст. 7Х3</t>
  </si>
  <si>
    <t>2штх4,5</t>
  </si>
  <si>
    <t>2,7-3,3</t>
  </si>
  <si>
    <t>пол.60х300 ст.4Х5МФС</t>
  </si>
  <si>
    <t>пол. 30х300 ст.Х12МФ</t>
  </si>
  <si>
    <t>пол.60х600 ст.20</t>
  </si>
  <si>
    <t>Ф140 ст.У10А</t>
  </si>
  <si>
    <t>Ф40 ст.Х12МФ</t>
  </si>
  <si>
    <t>2,42-4,05</t>
  </si>
  <si>
    <t>Ф85 ст.ХВГ</t>
  </si>
  <si>
    <t>пол.70х515 ст.20</t>
  </si>
  <si>
    <t>пол.20х500 ст.45</t>
  </si>
  <si>
    <t>пол. 50х305 ст.Х12МФ</t>
  </si>
  <si>
    <t>Ф25 ст.Х12МФ</t>
  </si>
  <si>
    <t>1,94-3,09</t>
  </si>
  <si>
    <t xml:space="preserve">Ф210 ст.4Х5МФС </t>
  </si>
  <si>
    <t>Ф20 ст.10880</t>
  </si>
  <si>
    <t>Ф40 ст.10880</t>
  </si>
  <si>
    <t>Ф100 ст.10880</t>
  </si>
  <si>
    <t>1500х3000</t>
  </si>
  <si>
    <t>Ф90 ст.ХВГ</t>
  </si>
  <si>
    <t>Ф150 ст.ШХ-15</t>
  </si>
  <si>
    <t>Ф180 ст.ШХ-15 ков.</t>
  </si>
  <si>
    <t>Ф240 ст.ШХ-15 ков.</t>
  </si>
  <si>
    <t>Ф8 ст.У8А(У10А)</t>
  </si>
  <si>
    <t>Ф60 ст.18Х2Н4МА</t>
  </si>
  <si>
    <t>пол.30х800 ст.4Х5МФС</t>
  </si>
  <si>
    <t>650х1</t>
  </si>
  <si>
    <t>3,6-4,75</t>
  </si>
  <si>
    <t>пол.40х500 ст.40Х</t>
  </si>
  <si>
    <t>Ф60 ст.Х12Ф1</t>
  </si>
  <si>
    <t>пол.20х500 ст.20</t>
  </si>
  <si>
    <t>пол.50х500 ст.20</t>
  </si>
  <si>
    <t>пол.50х500 ст.45</t>
  </si>
  <si>
    <t>3,7-3,76</t>
  </si>
  <si>
    <t>3-4м</t>
  </si>
  <si>
    <t>пол. 40х500  ст.45</t>
  </si>
  <si>
    <t>Ф120 ст.5Х3В3МФС</t>
  </si>
  <si>
    <t>пол. 30х500  ст.45</t>
  </si>
  <si>
    <t>лист 30  ст.45</t>
  </si>
  <si>
    <t>пол. 50х500 ст.У8А</t>
  </si>
  <si>
    <t>пол. 30х500 ст.У8А</t>
  </si>
  <si>
    <t>пол. 40х500 ст.У8А</t>
  </si>
  <si>
    <t>пол. 40х480 ст.У8А</t>
  </si>
  <si>
    <t>пол. 45х420 ст.У8А</t>
  </si>
  <si>
    <t>пол. 30х610 ст.ХВГ</t>
  </si>
  <si>
    <t>пол. 40х610 ст.ХВГ</t>
  </si>
  <si>
    <t>пол. 50х610 ст.ХВГ</t>
  </si>
  <si>
    <t>пол. 60х500 ст.ХВГ</t>
  </si>
  <si>
    <t>пол. 70х500 ст.ХВГ</t>
  </si>
  <si>
    <t>3,9-5,6</t>
  </si>
  <si>
    <t>Ф20 ст.ШХ-15</t>
  </si>
  <si>
    <t>Ф25 ст.ШХ-15</t>
  </si>
  <si>
    <t>Ф30 ст.ШХ-15</t>
  </si>
  <si>
    <t>2,5-5,4м</t>
  </si>
  <si>
    <t>5,2-5,4</t>
  </si>
  <si>
    <t>Ф120 ст.9ХС</t>
  </si>
  <si>
    <t>Ф180 ст.9ХС ков.</t>
  </si>
  <si>
    <t>3,2-5,8</t>
  </si>
  <si>
    <t>лист 70х900 ст.У8А</t>
  </si>
  <si>
    <t>1500 мм</t>
  </si>
  <si>
    <t>2,5/2,5/3,96</t>
  </si>
  <si>
    <t>пол. 30х690 ст.У8А</t>
  </si>
  <si>
    <t>12шт-0,179/2шт-0,181                                           14шт х1500</t>
  </si>
  <si>
    <t>Ф130 ст.4Х5МФС</t>
  </si>
  <si>
    <t>лист 25х880 ст.У8А</t>
  </si>
  <si>
    <t>пол. 25х520 ст.У8А</t>
  </si>
  <si>
    <t>Ф65 ст.ШХ-15</t>
  </si>
  <si>
    <t>3,7м</t>
  </si>
  <si>
    <t>пол. 12х700 ст.У8А</t>
  </si>
  <si>
    <t>пол. 14х790 ст.У8А</t>
  </si>
  <si>
    <t>пол. 16х700 ст.У8А</t>
  </si>
  <si>
    <t>4шт 700х1500-532кг                              1500</t>
  </si>
  <si>
    <t>пол. 20х580 ст.У8А</t>
  </si>
  <si>
    <t>3штх1540</t>
  </si>
  <si>
    <t>лист 20   ст.45</t>
  </si>
  <si>
    <t>лист 40   ст.45</t>
  </si>
  <si>
    <t>лист 50   ст.45</t>
  </si>
  <si>
    <t>пол.60х500 ст.45</t>
  </si>
  <si>
    <t>лист 60   ст.45</t>
  </si>
  <si>
    <t>1,23-4,24</t>
  </si>
  <si>
    <t>2,1-3,05</t>
  </si>
  <si>
    <t>Ф100 ст.ХВГ</t>
  </si>
  <si>
    <t>пол. 25х420 ст.У8А</t>
  </si>
  <si>
    <t>1штх1700</t>
  </si>
  <si>
    <t>пол. 30х495 ст.У8А</t>
  </si>
  <si>
    <t>пол. 40х500 ст.ХВГ</t>
  </si>
  <si>
    <t>пол. 40х410 ст.ХВГ</t>
  </si>
  <si>
    <t>пол. 50х450 ст.ХВГ</t>
  </si>
  <si>
    <t>720х1шт.</t>
  </si>
  <si>
    <t>Ф100 ст.18Х2Н4ВА</t>
  </si>
  <si>
    <t>5,36/4,66</t>
  </si>
  <si>
    <t>1,48/1,48/1,15</t>
  </si>
  <si>
    <t>Ф110 ст.18Х2Н4ВА</t>
  </si>
  <si>
    <t>пол. 35х500 ст.У8А</t>
  </si>
  <si>
    <t>пол. 20х415 ст.У8А</t>
  </si>
  <si>
    <t>Ф30 ст.ХВГ</t>
  </si>
  <si>
    <t>3,3-3,5м</t>
  </si>
  <si>
    <t>пол.50х500 ст.40Х</t>
  </si>
  <si>
    <t>пол. 60х600 ст.У8А</t>
  </si>
  <si>
    <t>4,6-4,7</t>
  </si>
  <si>
    <t xml:space="preserve"> 220018,г. Минск, ул.Шаранговича,19,комн.628А,тел: 259-01-07,365-46-89;8-029-1111271</t>
  </si>
  <si>
    <t>3,7х2</t>
  </si>
  <si>
    <t>0,245                                  750</t>
  </si>
  <si>
    <t>3,87/3,2</t>
  </si>
  <si>
    <t>Ф35 ст.ХВГ</t>
  </si>
  <si>
    <t>пол. 40х405 ст.Х12МФ</t>
  </si>
  <si>
    <t>Ф110 ст.ХВГ</t>
  </si>
  <si>
    <t>3,43/3,5/3,5</t>
  </si>
  <si>
    <t>Ф40 ст.ХВГ</t>
  </si>
  <si>
    <t>Ф100 ст.4Х5В2ФС ков.</t>
  </si>
  <si>
    <t>1,04-2,2</t>
  </si>
  <si>
    <t>2-2,3</t>
  </si>
  <si>
    <t xml:space="preserve">Ф130 ст.4Х5В2ФС </t>
  </si>
  <si>
    <t>Ф160 ст.4Х5В2ФС</t>
  </si>
  <si>
    <t>3м</t>
  </si>
  <si>
    <t>1шт-0,364/11шт-0,379                   11х500/1х480</t>
  </si>
  <si>
    <t>2,05-2,8м</t>
  </si>
  <si>
    <t>1500х1600</t>
  </si>
  <si>
    <t>Квадрат ст.У10А 250</t>
  </si>
  <si>
    <t>3,16-2шт</t>
  </si>
  <si>
    <t>1730х1шт.</t>
  </si>
  <si>
    <t xml:space="preserve">1шт-238/ 3шт-237                             4штх1,5  </t>
  </si>
  <si>
    <t>1,06(0,130)х2шт./1,67(0,204)/0,615(0,076)х2шт.                            1,06/1,67/0,615</t>
  </si>
  <si>
    <t>пол. 30х300 ст.40Х13</t>
  </si>
  <si>
    <t>пол.10х500 ст.45</t>
  </si>
  <si>
    <t>7шт-0,060                                                          7штх1500</t>
  </si>
  <si>
    <t>пол. 20х610 ст.ХВГ</t>
  </si>
  <si>
    <t>1020х1шт.</t>
  </si>
  <si>
    <t>2шт-по 137кг/1шт-138кг/1шт-136кг                                 4штх1500</t>
  </si>
  <si>
    <t>пол. 60х480 ст.У8А</t>
  </si>
  <si>
    <t>1штх1680- 109кг                                           1х1680</t>
  </si>
  <si>
    <t>3штх1300 по 218кг                                    1300</t>
  </si>
  <si>
    <t>4-4,5</t>
  </si>
  <si>
    <t>лист 50х1500 ст.40х13</t>
  </si>
  <si>
    <t>пол. 40х300 ст.Х12МФ</t>
  </si>
  <si>
    <t>5-6м</t>
  </si>
  <si>
    <t>Ф10 ст.У8А</t>
  </si>
  <si>
    <t>5-5,5м</t>
  </si>
  <si>
    <t>лист 25   ст.45</t>
  </si>
  <si>
    <t>6м</t>
  </si>
  <si>
    <t>Ф16 ст.ШХ-15</t>
  </si>
  <si>
    <t>пол. 10х600 ст.У8А</t>
  </si>
  <si>
    <t>0,068/0,070                                   2х1500</t>
  </si>
  <si>
    <t>1112-0,23/1640-0,399/1640-0,400                                                         1112/2штх1640</t>
  </si>
  <si>
    <t>0,371/371                                       2штх2400</t>
  </si>
  <si>
    <t>пол.70х300 ст.4Х5МФС</t>
  </si>
  <si>
    <t>387/387                                    2штх2260</t>
  </si>
  <si>
    <t>пол.50х300 ст.4Х5МФС</t>
  </si>
  <si>
    <t>1,4/2,4</t>
  </si>
  <si>
    <t>420-0,248/2шт 355-0,217                              420/350-2шт</t>
  </si>
  <si>
    <t>0,329                          2,14</t>
  </si>
  <si>
    <t>2,31/2,33</t>
  </si>
  <si>
    <t xml:space="preserve">Ф160 ст.Х12МФ </t>
  </si>
  <si>
    <t>1шт-0,356/3шт-0,379                                      1шт-470/3шт-500</t>
  </si>
  <si>
    <t>1шт-0,177/2шт-0,178                              1500х3шт</t>
  </si>
  <si>
    <t>3шт-0,241                            3х1550</t>
  </si>
  <si>
    <t>11шт х1500</t>
  </si>
  <si>
    <t>3,7-4,7</t>
  </si>
  <si>
    <t>4-5,5м</t>
  </si>
  <si>
    <t>3,7-5,1</t>
  </si>
  <si>
    <t>3,9/5,15/5,68/5,35</t>
  </si>
  <si>
    <t xml:space="preserve">Ф70 ст.4Х5МФС </t>
  </si>
  <si>
    <t>2,39/2,88</t>
  </si>
  <si>
    <t>4шт х1500</t>
  </si>
  <si>
    <t>1325х2шт по 0,133                           1,32х2шт</t>
  </si>
  <si>
    <t>0,238-2шт.                                2шт-1500</t>
  </si>
  <si>
    <t>2шт-350х1720-0,145                           2шт-350х1720</t>
  </si>
  <si>
    <t>пол. 30х350 ст.ХВГ</t>
  </si>
  <si>
    <t>0,293х8                                   8х1500</t>
  </si>
  <si>
    <t>1шт-0,300/6шт-0,302                                 7шт х 1500</t>
  </si>
  <si>
    <t>2шт-0,314                                        2шт-1500</t>
  </si>
  <si>
    <t>2шт-194кг/1шт-195кг                           3штх1680</t>
  </si>
  <si>
    <t xml:space="preserve">                                                           Цены по состоянию на 01.04.2025г.</t>
  </si>
</sst>
</file>

<file path=xl/styles.xml><?xml version="1.0" encoding="utf-8"?>
<styleSheet xmlns="http://schemas.openxmlformats.org/spreadsheetml/2006/main">
  <numFmts count="2">
    <numFmt numFmtId="164" formatCode="_-* #,##0_р_._-;\-* #,##0_р_._-;_-* &quot;-&quot;_р_._-;_-@_-"/>
    <numFmt numFmtId="165" formatCode="0.000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1"/>
      <name val="Cambria"/>
      <family val="1"/>
      <charset val="204"/>
      <scheme val="maj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  <scheme val="major"/>
    </font>
    <font>
      <b/>
      <i/>
      <sz val="24"/>
      <color theme="1"/>
      <name val="Cambria"/>
      <family val="1"/>
      <charset val="204"/>
      <scheme val="major"/>
    </font>
    <font>
      <i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16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6" fillId="0" borderId="4" xfId="0" applyFont="1" applyBorder="1"/>
    <xf numFmtId="0" fontId="13" fillId="0" borderId="0" xfId="0" applyFont="1" applyAlignment="1">
      <alignment horizontal="left" vertical="top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165" fontId="6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4"/>
  <sheetViews>
    <sheetView tabSelected="1" view="pageLayout" zoomScale="140" zoomScalePageLayoutView="140" workbookViewId="0">
      <selection activeCell="B4" sqref="B4"/>
    </sheetView>
  </sheetViews>
  <sheetFormatPr defaultRowHeight="15"/>
  <cols>
    <col min="1" max="1" width="18.5703125" customWidth="1"/>
    <col min="2" max="2" width="5.42578125" customWidth="1"/>
    <col min="3" max="3" width="13" customWidth="1"/>
    <col min="4" max="4" width="12.5703125" customWidth="1"/>
    <col min="5" max="5" width="17" customWidth="1"/>
    <col min="6" max="6" width="5.28515625" customWidth="1"/>
    <col min="7" max="7" width="12.7109375" customWidth="1"/>
    <col min="8" max="8" width="14.5703125" customWidth="1"/>
    <col min="9" max="9" width="11" customWidth="1"/>
    <col min="10" max="10" width="13.85546875" customWidth="1"/>
  </cols>
  <sheetData>
    <row r="1" spans="1:10" ht="13.9" customHeight="1">
      <c r="A1" s="2"/>
      <c r="B1" s="33" t="s">
        <v>0</v>
      </c>
      <c r="C1" s="4"/>
      <c r="D1" s="5"/>
      <c r="E1" s="5"/>
      <c r="F1" s="5"/>
      <c r="G1" s="5"/>
      <c r="H1" s="5"/>
      <c r="I1" s="5"/>
      <c r="J1" s="3"/>
    </row>
    <row r="2" spans="1:10" ht="25.9" customHeight="1">
      <c r="A2" s="1"/>
      <c r="B2" s="34" t="s">
        <v>1</v>
      </c>
      <c r="C2" s="3"/>
      <c r="D2" s="3"/>
      <c r="E2" s="3"/>
      <c r="F2" s="3"/>
      <c r="G2" s="3"/>
      <c r="H2" s="3"/>
      <c r="I2" s="3"/>
      <c r="J2" s="3"/>
    </row>
    <row r="3" spans="1:10" ht="13.5" customHeight="1">
      <c r="A3" s="38" t="s">
        <v>310</v>
      </c>
      <c r="B3" s="20"/>
      <c r="C3" s="3"/>
      <c r="D3" s="3"/>
      <c r="E3" s="3"/>
      <c r="F3" s="3"/>
      <c r="G3" t="s">
        <v>62</v>
      </c>
      <c r="H3" s="3"/>
      <c r="I3" s="3"/>
      <c r="J3" s="3"/>
    </row>
    <row r="4" spans="1:10" ht="9.6" customHeight="1">
      <c r="A4" s="1"/>
      <c r="B4" s="20" t="s">
        <v>382</v>
      </c>
      <c r="C4" s="3"/>
      <c r="D4" s="3"/>
      <c r="E4" s="3"/>
      <c r="F4" s="3"/>
      <c r="G4" s="3"/>
      <c r="H4" s="6"/>
      <c r="I4" s="3"/>
      <c r="J4" s="3"/>
    </row>
    <row r="5" spans="1:10" ht="12.2" customHeight="1">
      <c r="A5" s="7" t="s">
        <v>2</v>
      </c>
      <c r="B5" s="7" t="s">
        <v>3</v>
      </c>
      <c r="C5" s="7" t="s">
        <v>78</v>
      </c>
      <c r="D5" s="7" t="s">
        <v>4</v>
      </c>
      <c r="E5" s="7" t="s">
        <v>2</v>
      </c>
      <c r="F5" s="7" t="s">
        <v>3</v>
      </c>
      <c r="G5" s="7" t="s">
        <v>78</v>
      </c>
      <c r="H5" s="7" t="s">
        <v>4</v>
      </c>
    </row>
    <row r="6" spans="1:10" ht="12.2" customHeight="1">
      <c r="A6" s="8" t="s">
        <v>233</v>
      </c>
      <c r="B6" s="9">
        <f>0.06-0.02-0.015-0.001-0.016</f>
        <v>7.9999999999999932E-3</v>
      </c>
      <c r="C6" s="10">
        <v>13000</v>
      </c>
      <c r="D6" s="21">
        <v>2.2000000000000002</v>
      </c>
      <c r="E6" s="8" t="s">
        <v>16</v>
      </c>
      <c r="F6" s="9">
        <f>1.2-0.051-0.212</f>
        <v>0.93700000000000006</v>
      </c>
      <c r="G6" s="10">
        <v>5200</v>
      </c>
      <c r="H6" s="21" t="s">
        <v>264</v>
      </c>
    </row>
    <row r="7" spans="1:10" ht="12.2" customHeight="1">
      <c r="A7" s="8" t="s">
        <v>346</v>
      </c>
      <c r="B7" s="9">
        <f>0.095-0.02-0.02-0.02-0.001-0.007-0.007+1-0.549</f>
        <v>0.47099999999999997</v>
      </c>
      <c r="C7" s="10">
        <v>4600</v>
      </c>
      <c r="D7" s="21" t="s">
        <v>347</v>
      </c>
      <c r="E7" s="8" t="s">
        <v>265</v>
      </c>
      <c r="F7" s="9">
        <f>0.92-0.615-0.091</f>
        <v>0.21400000000000005</v>
      </c>
      <c r="G7" s="10">
        <v>5200</v>
      </c>
      <c r="H7" s="26">
        <v>2.64</v>
      </c>
    </row>
    <row r="8" spans="1:10" ht="12.2" customHeight="1">
      <c r="A8" s="8" t="s">
        <v>82</v>
      </c>
      <c r="B8" s="9">
        <f>0.192-0.004-0.05-0.005-0.004-0.004-0.05-0.015-0.012-0.004</f>
        <v>4.3999999999999997E-2</v>
      </c>
      <c r="C8" s="10">
        <v>4600</v>
      </c>
      <c r="D8" s="31" t="s">
        <v>83</v>
      </c>
      <c r="E8" s="8" t="s">
        <v>125</v>
      </c>
      <c r="F8" s="9">
        <f>0.392</f>
        <v>0.39200000000000002</v>
      </c>
      <c r="G8" s="10">
        <v>5200</v>
      </c>
      <c r="H8" s="26">
        <v>3.04</v>
      </c>
    </row>
    <row r="9" spans="1:10" ht="12.2" customHeight="1" thickBot="1">
      <c r="A9" s="8" t="s">
        <v>49</v>
      </c>
      <c r="B9" s="9">
        <f>0.12-0.02-0.021+0.27-0.052-0.052-0.101+0.22-0.05-0.05-0.011+0.998-0.061+0.11-0.016-0.1+0.4-0.007-0.051-1-0.062+0.995-0.081+0.035-0.005-0.4-0.006-0.1-0.027-0.024-0.106-0.115-0.02-0.05-0.013-0.05-0.016-0.017-0.1-0.05-0.01+0.784-0.052-0.006-0.02-0.004-0.01-0.05-0.007-0.02-0.01-0.007-0.05-0.01-0.03-0.01-0.05-0.057-0.031-0.101-0.203</f>
        <v>0.35999999999999993</v>
      </c>
      <c r="C9" s="10">
        <v>4600</v>
      </c>
      <c r="D9" s="26" t="s">
        <v>65</v>
      </c>
      <c r="E9" s="14" t="s">
        <v>266</v>
      </c>
      <c r="F9" s="15">
        <f>1.26-0.662</f>
        <v>0.59799999999999998</v>
      </c>
      <c r="G9" s="16">
        <v>5200</v>
      </c>
      <c r="H9" s="53">
        <v>3.03</v>
      </c>
    </row>
    <row r="10" spans="1:10" ht="12.2" customHeight="1">
      <c r="A10" s="8" t="s">
        <v>5</v>
      </c>
      <c r="B10" s="9">
        <f>0.176-0.016-0.008-0.053-0.031-0.05</f>
        <v>1.7999999999999974E-2</v>
      </c>
      <c r="C10" s="10">
        <v>4600</v>
      </c>
      <c r="D10" s="26" t="s">
        <v>48</v>
      </c>
      <c r="E10" s="11" t="s">
        <v>79</v>
      </c>
      <c r="F10" s="12">
        <f>0.1-0.005-0.002-0.002-0.008-0.001</f>
        <v>8.199999999999999E-2</v>
      </c>
      <c r="G10" s="40">
        <v>13200</v>
      </c>
      <c r="H10" s="23" t="s">
        <v>80</v>
      </c>
    </row>
    <row r="11" spans="1:10" ht="12.2" customHeight="1">
      <c r="A11" s="8" t="s">
        <v>54</v>
      </c>
      <c r="B11" s="9">
        <f>1</f>
        <v>1</v>
      </c>
      <c r="C11" s="10">
        <v>3500</v>
      </c>
      <c r="D11" s="21" t="s">
        <v>30</v>
      </c>
      <c r="E11" s="8" t="s">
        <v>76</v>
      </c>
      <c r="F11" s="9">
        <f>0.04-0.011</f>
        <v>2.9000000000000001E-2</v>
      </c>
      <c r="G11" s="10">
        <v>13200</v>
      </c>
      <c r="H11" s="21" t="s">
        <v>77</v>
      </c>
    </row>
    <row r="12" spans="1:10" ht="12.2" customHeight="1">
      <c r="A12" s="8" t="s">
        <v>53</v>
      </c>
      <c r="B12" s="9">
        <f>1</f>
        <v>1</v>
      </c>
      <c r="C12" s="10">
        <v>3500</v>
      </c>
      <c r="D12" s="21" t="s">
        <v>30</v>
      </c>
      <c r="E12" s="8" t="s">
        <v>17</v>
      </c>
      <c r="F12" s="9">
        <f>0.038-0.002-0.008+0.127-0.012</f>
        <v>0.14299999999999999</v>
      </c>
      <c r="G12" s="10">
        <v>13200</v>
      </c>
      <c r="H12" s="31" t="s">
        <v>173</v>
      </c>
    </row>
    <row r="13" spans="1:10" ht="12.2" customHeight="1">
      <c r="A13" s="8" t="s">
        <v>99</v>
      </c>
      <c r="B13" s="9">
        <f>1</f>
        <v>1</v>
      </c>
      <c r="C13" s="10">
        <v>3500</v>
      </c>
      <c r="D13" s="21" t="s">
        <v>30</v>
      </c>
      <c r="E13" s="8" t="s">
        <v>305</v>
      </c>
      <c r="F13" s="9">
        <f>0.307-0.207-0.051</f>
        <v>4.9000000000000009E-2</v>
      </c>
      <c r="G13" s="10">
        <v>13200</v>
      </c>
      <c r="H13" s="31" t="s">
        <v>306</v>
      </c>
    </row>
    <row r="14" spans="1:10" ht="12.2" customHeight="1">
      <c r="A14" s="8" t="s">
        <v>55</v>
      </c>
      <c r="B14" s="9">
        <f>1</f>
        <v>1</v>
      </c>
      <c r="C14" s="10">
        <v>3500</v>
      </c>
      <c r="D14" s="21" t="s">
        <v>30</v>
      </c>
      <c r="E14" s="8" t="s">
        <v>314</v>
      </c>
      <c r="F14" s="9">
        <f>0.262-0.01</f>
        <v>0.252</v>
      </c>
      <c r="G14" s="10">
        <v>13200</v>
      </c>
      <c r="H14" s="31" t="s">
        <v>102</v>
      </c>
    </row>
    <row r="15" spans="1:10" ht="12.2" customHeight="1">
      <c r="A15" s="8" t="s">
        <v>6</v>
      </c>
      <c r="B15" s="9">
        <f>1</f>
        <v>1</v>
      </c>
      <c r="C15" s="10">
        <v>3500</v>
      </c>
      <c r="D15" s="21" t="s">
        <v>30</v>
      </c>
      <c r="E15" s="8" t="s">
        <v>318</v>
      </c>
      <c r="F15" s="9">
        <f>0.166</f>
        <v>0.16600000000000001</v>
      </c>
      <c r="G15" s="10">
        <v>13200</v>
      </c>
      <c r="H15" s="31" t="s">
        <v>133</v>
      </c>
    </row>
    <row r="16" spans="1:10" ht="12.2" customHeight="1">
      <c r="A16" s="8" t="s">
        <v>88</v>
      </c>
      <c r="B16" s="9">
        <f>1</f>
        <v>1</v>
      </c>
      <c r="C16" s="10">
        <v>3500</v>
      </c>
      <c r="D16" s="21" t="s">
        <v>30</v>
      </c>
      <c r="E16" s="8" t="s">
        <v>18</v>
      </c>
      <c r="F16" s="9">
        <f>0.535+0.454-0.234-0.157-0.063-0.039-0.047-0.057+0.226-0.192-0.373+0.109</f>
        <v>0.1620000000000002</v>
      </c>
      <c r="G16" s="10">
        <v>13200</v>
      </c>
      <c r="H16" s="21" t="s">
        <v>317</v>
      </c>
    </row>
    <row r="17" spans="1:8" ht="12.2" customHeight="1">
      <c r="A17" s="8" t="s">
        <v>56</v>
      </c>
      <c r="B17" s="9">
        <f>1</f>
        <v>1</v>
      </c>
      <c r="C17" s="10">
        <v>3500</v>
      </c>
      <c r="D17" s="21" t="s">
        <v>30</v>
      </c>
      <c r="E17" s="8" t="s">
        <v>86</v>
      </c>
      <c r="F17" s="9">
        <f>0.136-0.067+0.066+0.321-0.081-0.198+0.398-0.138-0.022+0.065</f>
        <v>0.47999999999999993</v>
      </c>
      <c r="G17" s="10">
        <v>13200</v>
      </c>
      <c r="H17" s="21" t="s">
        <v>120</v>
      </c>
    </row>
    <row r="18" spans="1:8" ht="12.2" customHeight="1">
      <c r="A18" s="8" t="s">
        <v>61</v>
      </c>
      <c r="B18" s="9">
        <f>1</f>
        <v>1</v>
      </c>
      <c r="C18" s="10">
        <v>3500</v>
      </c>
      <c r="D18" s="21" t="s">
        <v>30</v>
      </c>
      <c r="E18" s="8" t="s">
        <v>19</v>
      </c>
      <c r="F18" s="9">
        <f>0.377+0.137-0.073+0.044-0.154+0.214-0.07</f>
        <v>0.47499999999999992</v>
      </c>
      <c r="G18" s="10">
        <v>13200</v>
      </c>
      <c r="H18" s="21" t="s">
        <v>217</v>
      </c>
    </row>
    <row r="19" spans="1:8" ht="12.2" customHeight="1">
      <c r="A19" s="8" t="s">
        <v>26</v>
      </c>
      <c r="B19" s="9">
        <f>1</f>
        <v>1</v>
      </c>
      <c r="C19" s="10">
        <v>3500</v>
      </c>
      <c r="D19" s="21" t="s">
        <v>30</v>
      </c>
      <c r="E19" s="8" t="s">
        <v>20</v>
      </c>
      <c r="F19" s="9">
        <f>0.444-0.118+0.194-0.119-0.026+0.102-0.162-0.165+0.294+0.07+0.164-0.22-0.071-0.095+0.595+0.138-0.17</f>
        <v>0.85499999999999987</v>
      </c>
      <c r="G19" s="10">
        <v>13200</v>
      </c>
      <c r="H19" s="21" t="s">
        <v>289</v>
      </c>
    </row>
    <row r="20" spans="1:8" ht="12.2" customHeight="1">
      <c r="A20" s="8" t="s">
        <v>7</v>
      </c>
      <c r="B20" s="9">
        <f>1</f>
        <v>1</v>
      </c>
      <c r="C20" s="10">
        <v>3500</v>
      </c>
      <c r="D20" s="21" t="s">
        <v>30</v>
      </c>
      <c r="E20" s="8" t="s">
        <v>218</v>
      </c>
      <c r="F20" s="9">
        <f>0.168</f>
        <v>0.16800000000000001</v>
      </c>
      <c r="G20" s="10">
        <v>13200</v>
      </c>
      <c r="H20" s="21">
        <v>3.78</v>
      </c>
    </row>
    <row r="21" spans="1:8" ht="12.2" customHeight="1">
      <c r="A21" s="8" t="s">
        <v>8</v>
      </c>
      <c r="B21" s="9">
        <f>1.12-0.07-0.118-0.065+0.115-0.087+0.065-0.174-0.063-0.088-0.116+0.088-0.087-0.133-0.085-0.007+0.335+0.065-0.604+0.321+0.544-0.054-0.106-0.19-0.061-0.058-0.063-0.095-0.096-0.153-0.067</f>
        <v>1.3000000000000178E-2</v>
      </c>
      <c r="C21" s="10">
        <v>3500</v>
      </c>
      <c r="D21" s="31" t="s">
        <v>105</v>
      </c>
      <c r="E21" s="8" t="s">
        <v>229</v>
      </c>
      <c r="F21" s="9">
        <f>0.212+0.753</f>
        <v>0.96499999999999997</v>
      </c>
      <c r="G21" s="10">
        <v>13200</v>
      </c>
      <c r="H21" s="21" t="s">
        <v>290</v>
      </c>
    </row>
    <row r="22" spans="1:8" ht="12.2" customHeight="1">
      <c r="A22" s="8" t="s">
        <v>31</v>
      </c>
      <c r="B22" s="9">
        <f>0.96-0.325+0.62-0.137-0.243-0.088-0.157-0.159-0.088-0.082+0.352+0.196-0.512+0.035-0.254+0.201-0.131-0.003</f>
        <v>0.18499999999999978</v>
      </c>
      <c r="C22" s="10">
        <v>3500</v>
      </c>
      <c r="D22" s="21" t="s">
        <v>93</v>
      </c>
      <c r="E22" s="8" t="s">
        <v>291</v>
      </c>
      <c r="F22" s="9">
        <f>1.025-0.251-0.037-0.348+0.273+0.943-0.131</f>
        <v>1.474</v>
      </c>
      <c r="G22" s="10">
        <v>13200</v>
      </c>
      <c r="H22" s="21" t="s">
        <v>321</v>
      </c>
    </row>
    <row r="23" spans="1:8" ht="12.2" customHeight="1">
      <c r="A23" s="8" t="s">
        <v>121</v>
      </c>
      <c r="B23" s="9">
        <f>0.102+0.298-0.026-0.102-0.126</f>
        <v>0.14599999999999996</v>
      </c>
      <c r="C23" s="10">
        <v>3500</v>
      </c>
      <c r="D23" s="21">
        <v>4.5</v>
      </c>
      <c r="E23" s="8" t="s">
        <v>316</v>
      </c>
      <c r="F23" s="9">
        <f>0.212</f>
        <v>0.21199999999999999</v>
      </c>
      <c r="G23" s="10">
        <v>13200</v>
      </c>
      <c r="H23" s="21">
        <v>2.84</v>
      </c>
    </row>
    <row r="24" spans="1:8" ht="12.2" customHeight="1">
      <c r="A24" s="8" t="s">
        <v>9</v>
      </c>
      <c r="B24" s="9">
        <f>1</f>
        <v>1</v>
      </c>
      <c r="C24" s="10">
        <v>3500</v>
      </c>
      <c r="D24" s="21" t="s">
        <v>30</v>
      </c>
      <c r="E24" s="8" t="s">
        <v>136</v>
      </c>
      <c r="F24" s="9">
        <f>0.453</f>
        <v>0.45300000000000001</v>
      </c>
      <c r="G24" s="10">
        <v>13200</v>
      </c>
      <c r="H24" s="21">
        <v>5.0999999999999996</v>
      </c>
    </row>
    <row r="25" spans="1:8" ht="12.2" customHeight="1">
      <c r="A25" s="8" t="s">
        <v>28</v>
      </c>
      <c r="B25" s="9">
        <f>0.273-0.057-0.055-0.056+0.556-0.115+0.148</f>
        <v>0.69400000000000006</v>
      </c>
      <c r="C25" s="10">
        <v>3500</v>
      </c>
      <c r="D25" s="26" t="s">
        <v>106</v>
      </c>
      <c r="E25" s="8" t="s">
        <v>47</v>
      </c>
      <c r="F25" s="9">
        <f>0.502-0.105</f>
        <v>0.39700000000000002</v>
      </c>
      <c r="G25" s="10">
        <v>13200</v>
      </c>
      <c r="H25" s="21" t="s">
        <v>81</v>
      </c>
    </row>
    <row r="26" spans="1:8" ht="12.2" customHeight="1">
      <c r="A26" s="8" t="s">
        <v>34</v>
      </c>
      <c r="B26" s="9">
        <f>0.6-0.105-0.087-0.087-0.007-0.078-0.143</f>
        <v>9.3000000000000055E-2</v>
      </c>
      <c r="C26" s="10">
        <v>3500</v>
      </c>
      <c r="D26" s="21" t="s">
        <v>64</v>
      </c>
      <c r="E26" s="8" t="s">
        <v>73</v>
      </c>
      <c r="F26" s="9">
        <f>0.118</f>
        <v>0.11799999999999999</v>
      </c>
      <c r="G26" s="10">
        <v>13200</v>
      </c>
      <c r="H26" s="21" t="s">
        <v>74</v>
      </c>
    </row>
    <row r="27" spans="1:8" ht="12.2" customHeight="1" thickBot="1">
      <c r="A27" s="8" t="s">
        <v>10</v>
      </c>
      <c r="B27" s="9">
        <f>1</f>
        <v>1</v>
      </c>
      <c r="C27" s="10">
        <v>3500</v>
      </c>
      <c r="D27" s="21" t="s">
        <v>30</v>
      </c>
      <c r="E27" s="17" t="s">
        <v>72</v>
      </c>
      <c r="F27" s="18">
        <f>0.126+0.381-0.121</f>
        <v>0.38600000000000001</v>
      </c>
      <c r="G27" s="19">
        <v>13200</v>
      </c>
      <c r="H27" s="22">
        <v>3.11</v>
      </c>
    </row>
    <row r="28" spans="1:8" ht="12.2" customHeight="1">
      <c r="A28" s="8" t="s">
        <v>11</v>
      </c>
      <c r="B28" s="9">
        <f>0.476-0.15+0.571+0.4-0.047-0.087-0.11</f>
        <v>1.0529999999999999</v>
      </c>
      <c r="C28" s="10">
        <v>3500</v>
      </c>
      <c r="D28" s="21" t="s">
        <v>132</v>
      </c>
      <c r="E28" s="11" t="s">
        <v>336</v>
      </c>
      <c r="F28" s="36">
        <f>0.101</f>
        <v>0.10100000000000001</v>
      </c>
      <c r="G28" s="35">
        <v>15200</v>
      </c>
      <c r="H28" s="23" t="s">
        <v>337</v>
      </c>
    </row>
    <row r="29" spans="1:8" ht="12.2" customHeight="1">
      <c r="A29" s="8" t="s">
        <v>12</v>
      </c>
      <c r="B29" s="9">
        <f>0.29-0.025+0.217</f>
        <v>0.48199999999999998</v>
      </c>
      <c r="C29" s="10">
        <v>3500</v>
      </c>
      <c r="D29" s="21" t="s">
        <v>107</v>
      </c>
      <c r="E29" s="11" t="s">
        <v>254</v>
      </c>
      <c r="F29" s="36">
        <f>0.504</f>
        <v>0.504</v>
      </c>
      <c r="G29" s="35">
        <v>15200</v>
      </c>
      <c r="H29" s="23" t="s">
        <v>182</v>
      </c>
    </row>
    <row r="30" spans="1:8" ht="12.2" customHeight="1">
      <c r="A30" s="8" t="s">
        <v>109</v>
      </c>
      <c r="B30" s="9">
        <f>0.745-0.368</f>
        <v>0.377</v>
      </c>
      <c r="C30" s="10">
        <v>3500</v>
      </c>
      <c r="D30" s="21" t="s">
        <v>124</v>
      </c>
      <c r="E30" s="11" t="s">
        <v>377</v>
      </c>
      <c r="F30" s="36">
        <f>1.5-0.365-0.372-0.131-0.137-0.205</f>
        <v>0.29000000000000004</v>
      </c>
      <c r="G30" s="35">
        <v>15200</v>
      </c>
      <c r="H30" s="23" t="s">
        <v>376</v>
      </c>
    </row>
    <row r="31" spans="1:8" ht="12.2" customHeight="1">
      <c r="A31" s="8" t="s">
        <v>68</v>
      </c>
      <c r="B31" s="9">
        <f>0.827-0.155-0.274</f>
        <v>0.39799999999999991</v>
      </c>
      <c r="C31" s="10">
        <v>3500</v>
      </c>
      <c r="D31" s="21" t="s">
        <v>270</v>
      </c>
      <c r="E31" s="8" t="s">
        <v>296</v>
      </c>
      <c r="F31" s="47">
        <f>1</f>
        <v>1</v>
      </c>
      <c r="G31" s="48">
        <v>15200</v>
      </c>
      <c r="H31" s="21" t="s">
        <v>30</v>
      </c>
    </row>
    <row r="32" spans="1:8" ht="12.2" customHeight="1">
      <c r="A32" s="8" t="s">
        <v>215</v>
      </c>
      <c r="B32" s="9">
        <f>0.484-0.33</f>
        <v>0.15399999999999997</v>
      </c>
      <c r="C32" s="10">
        <v>3500</v>
      </c>
      <c r="D32" s="21">
        <v>1.31</v>
      </c>
      <c r="E32" s="8" t="s">
        <v>295</v>
      </c>
      <c r="F32" s="47">
        <f>0.14</f>
        <v>0.14000000000000001</v>
      </c>
      <c r="G32" s="48">
        <v>15200</v>
      </c>
      <c r="H32" s="21">
        <v>835</v>
      </c>
    </row>
    <row r="33" spans="1:8" ht="12.2" customHeight="1">
      <c r="A33" s="8" t="s">
        <v>66</v>
      </c>
      <c r="B33" s="9">
        <f>1</f>
        <v>1</v>
      </c>
      <c r="C33" s="10">
        <v>3500</v>
      </c>
      <c r="D33" s="21" t="s">
        <v>30</v>
      </c>
      <c r="E33" s="8" t="s">
        <v>255</v>
      </c>
      <c r="F33" s="47">
        <f>0.862-0.413-0.2</f>
        <v>0.249</v>
      </c>
      <c r="G33" s="48">
        <v>15200</v>
      </c>
      <c r="H33" s="21">
        <v>1150</v>
      </c>
    </row>
    <row r="34" spans="1:8" ht="12.2" customHeight="1">
      <c r="A34" s="11" t="s">
        <v>67</v>
      </c>
      <c r="B34" s="12">
        <f>0.332</f>
        <v>0.33200000000000002</v>
      </c>
      <c r="C34" s="13">
        <v>3500</v>
      </c>
      <c r="D34" s="23">
        <v>1.9</v>
      </c>
      <c r="E34" s="8" t="s">
        <v>297</v>
      </c>
      <c r="F34" s="47">
        <f>0.132</f>
        <v>0.13200000000000001</v>
      </c>
      <c r="G34" s="48">
        <v>15200</v>
      </c>
      <c r="H34" s="21" t="s">
        <v>298</v>
      </c>
    </row>
    <row r="35" spans="1:8" ht="12.2" customHeight="1" thickBot="1">
      <c r="A35" s="17" t="s">
        <v>90</v>
      </c>
      <c r="B35" s="18">
        <f>0.702-0.29+0.258-0.258-0.1</f>
        <v>0.31199999999999994</v>
      </c>
      <c r="C35" s="19">
        <v>3500</v>
      </c>
      <c r="D35" s="22">
        <v>1.55</v>
      </c>
      <c r="E35" s="8" t="s">
        <v>256</v>
      </c>
      <c r="F35" s="47">
        <f>0.88-0.185-0.267</f>
        <v>0.42800000000000005</v>
      </c>
      <c r="G35" s="48">
        <v>15200</v>
      </c>
      <c r="H35" s="21" t="s">
        <v>330</v>
      </c>
    </row>
    <row r="36" spans="1:8" ht="12.2" customHeight="1">
      <c r="A36" s="37" t="s">
        <v>328</v>
      </c>
      <c r="B36" s="36">
        <f>3.03-1.01</f>
        <v>2.0199999999999996</v>
      </c>
      <c r="C36" s="35">
        <v>10500</v>
      </c>
      <c r="D36" s="23" t="s">
        <v>329</v>
      </c>
      <c r="E36" s="8" t="s">
        <v>257</v>
      </c>
      <c r="F36" s="47">
        <f>1</f>
        <v>1</v>
      </c>
      <c r="G36" s="48">
        <v>15200</v>
      </c>
      <c r="H36" s="21" t="s">
        <v>30</v>
      </c>
    </row>
    <row r="37" spans="1:8" ht="12.2" customHeight="1" thickBot="1">
      <c r="A37" s="37" t="s">
        <v>351</v>
      </c>
      <c r="B37" s="36">
        <f>0.138</f>
        <v>0.13800000000000001</v>
      </c>
      <c r="C37" s="35">
        <v>10500</v>
      </c>
      <c r="D37" s="23" t="s">
        <v>352</v>
      </c>
      <c r="E37" s="14" t="s">
        <v>258</v>
      </c>
      <c r="F37" s="45">
        <f>0.865-0.215</f>
        <v>0.65</v>
      </c>
      <c r="G37" s="46">
        <v>15200</v>
      </c>
      <c r="H37" s="24">
        <v>2400</v>
      </c>
    </row>
    <row r="38" spans="1:8" ht="12.2" customHeight="1">
      <c r="A38" s="37" t="s">
        <v>278</v>
      </c>
      <c r="B38" s="36">
        <f>0.096</f>
        <v>9.6000000000000002E-2</v>
      </c>
      <c r="C38" s="35">
        <v>10500</v>
      </c>
      <c r="D38" s="23">
        <v>1500</v>
      </c>
      <c r="E38" s="11" t="s">
        <v>178</v>
      </c>
      <c r="F38" s="12">
        <f>0.05</f>
        <v>0.05</v>
      </c>
      <c r="G38" s="13">
        <v>8800</v>
      </c>
      <c r="H38" s="23" t="s">
        <v>349</v>
      </c>
    </row>
    <row r="39" spans="1:8" ht="12.2" customHeight="1">
      <c r="A39" s="37" t="s">
        <v>279</v>
      </c>
      <c r="B39" s="36">
        <f>0.132</f>
        <v>0.13200000000000001</v>
      </c>
      <c r="C39" s="35">
        <v>10500</v>
      </c>
      <c r="D39" s="23">
        <v>1500</v>
      </c>
      <c r="E39" s="11" t="s">
        <v>101</v>
      </c>
      <c r="F39" s="12">
        <f>0.2-0.02-0.013-0.043-0.003-0.032-0.03</f>
        <v>5.9000000000000011E-2</v>
      </c>
      <c r="G39" s="13">
        <v>8800</v>
      </c>
      <c r="H39" s="23" t="s">
        <v>102</v>
      </c>
    </row>
    <row r="40" spans="1:8" ht="12.2" customHeight="1">
      <c r="A40" s="37" t="s">
        <v>280</v>
      </c>
      <c r="B40" s="36">
        <f>0.662-0.126-0.125-0.127+0.532-0.284</f>
        <v>0.53200000000000003</v>
      </c>
      <c r="C40" s="35">
        <v>10500</v>
      </c>
      <c r="D40" s="23" t="s">
        <v>281</v>
      </c>
      <c r="E40" s="11" t="s">
        <v>158</v>
      </c>
      <c r="F40" s="9">
        <f>0.33-0.015-0.01-0.105-0.03-0.026</f>
        <v>0.14400000000000002</v>
      </c>
      <c r="G40" s="13">
        <v>8800</v>
      </c>
      <c r="H40" s="31" t="s">
        <v>159</v>
      </c>
    </row>
    <row r="41" spans="1:8" ht="12.2" customHeight="1">
      <c r="A41" s="37" t="s">
        <v>304</v>
      </c>
      <c r="B41" s="36">
        <f>0.428-0.319</f>
        <v>0.10899999999999999</v>
      </c>
      <c r="C41" s="35">
        <v>10500</v>
      </c>
      <c r="D41" s="23" t="s">
        <v>340</v>
      </c>
      <c r="E41" s="11" t="s">
        <v>350</v>
      </c>
      <c r="F41" s="9">
        <f>1</f>
        <v>1</v>
      </c>
      <c r="G41" s="13">
        <v>8800</v>
      </c>
      <c r="H41" s="21" t="s">
        <v>30</v>
      </c>
    </row>
    <row r="42" spans="1:8" ht="12.2" customHeight="1">
      <c r="A42" s="37" t="s">
        <v>282</v>
      </c>
      <c r="B42" s="36">
        <f>0.466-0.156-0.155+0.412-0.155+0.136</f>
        <v>0.54800000000000004</v>
      </c>
      <c r="C42" s="35">
        <v>10500</v>
      </c>
      <c r="D42" s="23" t="s">
        <v>338</v>
      </c>
      <c r="E42" s="11" t="s">
        <v>260</v>
      </c>
      <c r="F42" s="9">
        <f>0.802-0.084-0.358</f>
        <v>0.3600000000000001</v>
      </c>
      <c r="G42" s="13">
        <v>8800</v>
      </c>
      <c r="H42" s="21" t="s">
        <v>349</v>
      </c>
    </row>
    <row r="43" spans="1:8" ht="12.2" customHeight="1">
      <c r="A43" s="37" t="s">
        <v>292</v>
      </c>
      <c r="B43" s="36">
        <f>0.14</f>
        <v>0.14000000000000001</v>
      </c>
      <c r="C43" s="35">
        <v>10500</v>
      </c>
      <c r="D43" s="23" t="s">
        <v>293</v>
      </c>
      <c r="E43" s="11" t="s">
        <v>261</v>
      </c>
      <c r="F43" s="12">
        <f>0.432-0.046</f>
        <v>0.38600000000000001</v>
      </c>
      <c r="G43" s="13">
        <v>8800</v>
      </c>
      <c r="H43" s="23" t="s">
        <v>349</v>
      </c>
    </row>
    <row r="44" spans="1:8" ht="12.2" customHeight="1">
      <c r="A44" s="37" t="s">
        <v>275</v>
      </c>
      <c r="B44" s="36">
        <f>0.79-0.316</f>
        <v>0.47400000000000003</v>
      </c>
      <c r="C44" s="35">
        <v>10500</v>
      </c>
      <c r="D44" s="23" t="s">
        <v>283</v>
      </c>
      <c r="E44" s="11" t="s">
        <v>262</v>
      </c>
      <c r="F44" s="12">
        <f>0.728+0.352-0.017-0.187-0.097</f>
        <v>0.77900000000000014</v>
      </c>
      <c r="G44" s="13">
        <v>8800</v>
      </c>
      <c r="H44" s="23" t="s">
        <v>259</v>
      </c>
    </row>
    <row r="45" spans="1:8" ht="12.2" customHeight="1">
      <c r="A45" s="11" t="s">
        <v>271</v>
      </c>
      <c r="B45" s="9">
        <f>1</f>
        <v>1</v>
      </c>
      <c r="C45" s="35">
        <v>10500</v>
      </c>
      <c r="D45" s="21" t="s">
        <v>30</v>
      </c>
      <c r="E45" s="11" t="s">
        <v>153</v>
      </c>
      <c r="F45" s="9">
        <f>0.608-0.05-0.025-0.023-0.047</f>
        <v>0.46299999999999991</v>
      </c>
      <c r="G45" s="13">
        <v>8800</v>
      </c>
      <c r="H45" s="21" t="s">
        <v>154</v>
      </c>
    </row>
    <row r="46" spans="1:8" ht="12.2" customHeight="1">
      <c r="A46" s="37" t="s">
        <v>250</v>
      </c>
      <c r="B46" s="36">
        <f>1</f>
        <v>1</v>
      </c>
      <c r="C46" s="35">
        <v>10500</v>
      </c>
      <c r="D46" s="23" t="s">
        <v>30</v>
      </c>
      <c r="E46" s="11" t="s">
        <v>170</v>
      </c>
      <c r="F46" s="9">
        <f>1.032-0.185-0.073-0.037+0.294-0.02-0.076-0.211+1.32-0.295-0.063</f>
        <v>1.6860000000000002</v>
      </c>
      <c r="G46" s="13">
        <v>8800</v>
      </c>
      <c r="H46" s="21" t="s">
        <v>243</v>
      </c>
    </row>
    <row r="47" spans="1:8" ht="12.2" customHeight="1">
      <c r="A47" s="37" t="s">
        <v>294</v>
      </c>
      <c r="B47" s="36">
        <f>0.778-0.195</f>
        <v>0.58299999999999996</v>
      </c>
      <c r="C47" s="35">
        <v>10500</v>
      </c>
      <c r="D47" s="23" t="s">
        <v>381</v>
      </c>
      <c r="E47" s="11" t="s">
        <v>155</v>
      </c>
      <c r="F47" s="9">
        <f>0.117+0.234-0.234+0.265-0.078-0.075</f>
        <v>0.22899999999999998</v>
      </c>
      <c r="G47" s="13">
        <v>8800</v>
      </c>
      <c r="H47" s="31" t="s">
        <v>244</v>
      </c>
    </row>
    <row r="48" spans="1:8" ht="12.2" customHeight="1">
      <c r="A48" s="37" t="s">
        <v>303</v>
      </c>
      <c r="B48" s="36">
        <f>1</f>
        <v>1</v>
      </c>
      <c r="C48" s="35">
        <v>10500</v>
      </c>
      <c r="D48" s="23" t="s">
        <v>30</v>
      </c>
      <c r="E48" s="11" t="s">
        <v>87</v>
      </c>
      <c r="F48" s="9">
        <f>0.964-0.317-0.159-0.157+4.176-0.002-0.402-0.031-0.105-1.255-0.23-0.115</f>
        <v>2.367</v>
      </c>
      <c r="G48" s="13">
        <v>8800</v>
      </c>
      <c r="H48" s="21" t="s">
        <v>122</v>
      </c>
    </row>
    <row r="49" spans="1:8" ht="12.2" customHeight="1">
      <c r="A49" s="11" t="s">
        <v>251</v>
      </c>
      <c r="B49" s="36">
        <f>0.948-0.237-0.237+0.872-0.237-0.455</f>
        <v>0.65399999999999991</v>
      </c>
      <c r="C49" s="35">
        <v>10500</v>
      </c>
      <c r="D49" s="23" t="s">
        <v>341</v>
      </c>
      <c r="E49" s="11" t="s">
        <v>75</v>
      </c>
      <c r="F49" s="9">
        <f>1</f>
        <v>1</v>
      </c>
      <c r="G49" s="13">
        <v>8800</v>
      </c>
      <c r="H49" s="31" t="s">
        <v>30</v>
      </c>
    </row>
    <row r="50" spans="1:8" ht="12.2" customHeight="1">
      <c r="A50" s="11" t="s">
        <v>252</v>
      </c>
      <c r="B50" s="9">
        <f>1</f>
        <v>1</v>
      </c>
      <c r="C50" s="35">
        <v>10500</v>
      </c>
      <c r="D50" s="21" t="s">
        <v>30</v>
      </c>
      <c r="E50" s="11" t="s">
        <v>140</v>
      </c>
      <c r="F50" s="9">
        <f>0.536-0.088-0.071+0.322</f>
        <v>0.69900000000000007</v>
      </c>
      <c r="G50" s="13">
        <v>8800</v>
      </c>
      <c r="H50" s="31" t="s">
        <v>369</v>
      </c>
    </row>
    <row r="51" spans="1:8" ht="12.2" customHeight="1">
      <c r="A51" s="11" t="s">
        <v>253</v>
      </c>
      <c r="B51" s="9">
        <f>0.28</f>
        <v>0.28000000000000003</v>
      </c>
      <c r="C51" s="35">
        <v>10500</v>
      </c>
      <c r="D51" s="21">
        <v>1900</v>
      </c>
      <c r="E51" s="11" t="s">
        <v>276</v>
      </c>
      <c r="F51" s="9">
        <f>0.39+0.388-0.097-0.098</f>
        <v>0.58300000000000007</v>
      </c>
      <c r="G51" s="13">
        <v>8800</v>
      </c>
      <c r="H51" s="31" t="s">
        <v>277</v>
      </c>
    </row>
    <row r="52" spans="1:8" ht="12.2" customHeight="1">
      <c r="A52" s="11" t="s">
        <v>249</v>
      </c>
      <c r="B52" s="9">
        <f>0.942-0.708+0.799</f>
        <v>1.0329999999999999</v>
      </c>
      <c r="C52" s="35">
        <v>10500</v>
      </c>
      <c r="D52" s="59" t="s">
        <v>353</v>
      </c>
      <c r="E52" s="11" t="s">
        <v>21</v>
      </c>
      <c r="F52" s="9">
        <f>0.459+0.31-0.088-0.368+0.364+0.226-0.119-0.44-0.072+1.24-0.037-0.442+0.252-0.098+0.724+0.205-0.159-1.068-0.15+0.102-0.047-0.53-0.102-0.012-0.041+0.36-0.043-0.22+0.738-0.021-0.42+0.43-0.106</f>
        <v>0.82699999999999985</v>
      </c>
      <c r="G52" s="13">
        <v>8800</v>
      </c>
      <c r="H52" s="21" t="s">
        <v>237</v>
      </c>
    </row>
    <row r="53" spans="1:8" ht="12.2" customHeight="1">
      <c r="A53" s="11" t="s">
        <v>339</v>
      </c>
      <c r="B53" s="9">
        <f>0.282</f>
        <v>0.28199999999999997</v>
      </c>
      <c r="C53" s="35">
        <v>10500</v>
      </c>
      <c r="D53" s="21">
        <v>1100</v>
      </c>
      <c r="E53" s="11" t="s">
        <v>58</v>
      </c>
      <c r="F53" s="9">
        <f>1</f>
        <v>1</v>
      </c>
      <c r="G53" s="13">
        <v>8800</v>
      </c>
      <c r="H53" s="21" t="s">
        <v>30</v>
      </c>
    </row>
    <row r="54" spans="1:8" ht="12.2" customHeight="1">
      <c r="A54" s="11" t="s">
        <v>308</v>
      </c>
      <c r="B54" s="9">
        <f>0.892-0.446</f>
        <v>0.44600000000000001</v>
      </c>
      <c r="C54" s="35">
        <v>10500</v>
      </c>
      <c r="D54" s="21">
        <v>1490</v>
      </c>
      <c r="E54" s="11" t="s">
        <v>100</v>
      </c>
      <c r="F54" s="9">
        <f>0.308-0.154+0.63</f>
        <v>0.78400000000000003</v>
      </c>
      <c r="G54" s="13">
        <v>8800</v>
      </c>
      <c r="H54" s="21" t="s">
        <v>370</v>
      </c>
    </row>
    <row r="55" spans="1:8" ht="12.2" customHeight="1">
      <c r="A55" s="11" t="s">
        <v>274</v>
      </c>
      <c r="B55" s="9">
        <f>0.268</f>
        <v>0.26800000000000002</v>
      </c>
      <c r="C55" s="35">
        <v>10500</v>
      </c>
      <c r="D55" s="21">
        <v>1550</v>
      </c>
      <c r="E55" s="11" t="s">
        <v>142</v>
      </c>
      <c r="F55" s="9">
        <f>0.231</f>
        <v>0.23100000000000001</v>
      </c>
      <c r="G55" s="13">
        <v>8800</v>
      </c>
      <c r="H55" s="21" t="s">
        <v>143</v>
      </c>
    </row>
    <row r="56" spans="1:8" ht="12.2" customHeight="1" thickBot="1">
      <c r="A56" s="17" t="s">
        <v>268</v>
      </c>
      <c r="B56" s="18">
        <f>0.866</f>
        <v>0.86599999999999999</v>
      </c>
      <c r="C56" s="19">
        <v>10500</v>
      </c>
      <c r="D56" s="22" t="s">
        <v>269</v>
      </c>
      <c r="E56" s="11" t="s">
        <v>84</v>
      </c>
      <c r="F56" s="9">
        <f>1.05+0.676-0.346-0.02-0.053</f>
        <v>1.3069999999999999</v>
      </c>
      <c r="G56" s="13">
        <v>8800</v>
      </c>
      <c r="H56" s="31" t="s">
        <v>141</v>
      </c>
    </row>
    <row r="57" spans="1:8" ht="12.2" customHeight="1">
      <c r="A57" s="8" t="s">
        <v>60</v>
      </c>
      <c r="B57" s="9">
        <f>0.495-0.057-0.015-0.071</f>
        <v>0.35199999999999998</v>
      </c>
      <c r="C57" s="10">
        <v>5200</v>
      </c>
      <c r="D57" s="26">
        <v>5.7</v>
      </c>
      <c r="E57" s="11" t="s">
        <v>32</v>
      </c>
      <c r="F57" s="9">
        <f>1.034-0.187+1.36-0.5-0.502-0.495+0.629+0.438-0.29+0.238+0.281-0.526-0.194-0.197</f>
        <v>1.0889999999999997</v>
      </c>
      <c r="G57" s="13">
        <v>8800</v>
      </c>
      <c r="H57" s="21" t="s">
        <v>144</v>
      </c>
    </row>
    <row r="58" spans="1:8" ht="12.2" customHeight="1">
      <c r="A58" s="11" t="s">
        <v>13</v>
      </c>
      <c r="B58" s="12">
        <f>0.021+1.03-0.166-0.167-0.111-0.165-0.056+1-0.277-0.106-0.11</f>
        <v>0.8929999999999999</v>
      </c>
      <c r="C58" s="13">
        <v>5200</v>
      </c>
      <c r="D58" s="23" t="s">
        <v>175</v>
      </c>
      <c r="E58" s="11" t="s">
        <v>145</v>
      </c>
      <c r="F58" s="9">
        <f>0.541-0.068</f>
        <v>0.47300000000000003</v>
      </c>
      <c r="G58" s="13">
        <v>8800</v>
      </c>
      <c r="H58" s="21" t="s">
        <v>313</v>
      </c>
    </row>
    <row r="59" spans="1:8" ht="12.2" customHeight="1">
      <c r="A59" s="8" t="s">
        <v>57</v>
      </c>
      <c r="B59" s="9">
        <f>1.005-0.316-0.185-0.02-0.038+0.54-0.058-0.023-0.215-0.058-0.058-0.105-0.072+0.98-0.075-0.016-0.169-0.298+1.02-0.353-0.149</f>
        <v>1.3369999999999995</v>
      </c>
      <c r="C59" s="10">
        <v>5200</v>
      </c>
      <c r="D59" s="31" t="s">
        <v>267</v>
      </c>
      <c r="E59" s="11" t="s">
        <v>108</v>
      </c>
      <c r="F59" s="9">
        <f>1.551-0.079+0.462+0.536-2.036-0.228-0.095</f>
        <v>0.11099999999999971</v>
      </c>
      <c r="G59" s="13">
        <v>8800</v>
      </c>
      <c r="H59" s="21">
        <v>1.34</v>
      </c>
    </row>
    <row r="60" spans="1:8" ht="12.2" customHeight="1">
      <c r="A60" s="8" t="s">
        <v>138</v>
      </c>
      <c r="B60" s="9">
        <f>0.54-0.073-0.212-0.128</f>
        <v>0.127</v>
      </c>
      <c r="C60" s="10">
        <v>5200</v>
      </c>
      <c r="D60" s="31" t="s">
        <v>176</v>
      </c>
      <c r="E60" s="11" t="s">
        <v>69</v>
      </c>
      <c r="F60" s="9">
        <f>0.435+0.487+0.373-0.133-0.515-0.373+0.637-0.517</f>
        <v>0.39399999999999991</v>
      </c>
      <c r="G60" s="13">
        <v>8800</v>
      </c>
      <c r="H60" s="21" t="s">
        <v>361</v>
      </c>
    </row>
    <row r="61" spans="1:8" ht="12.2" customHeight="1">
      <c r="A61" s="8" t="s">
        <v>14</v>
      </c>
      <c r="B61" s="9">
        <f>0.085+1.605-0.847-0.019-0.111-0.227-0.113-0.113+1.02-0.202</f>
        <v>1.0780000000000001</v>
      </c>
      <c r="C61" s="10">
        <v>5200</v>
      </c>
      <c r="D61" s="25" t="s">
        <v>367</v>
      </c>
      <c r="E61" s="11" t="s">
        <v>85</v>
      </c>
      <c r="F61" s="9">
        <f>0.259-0.052+0.496-0.107-0.11-0.24</f>
        <v>0.24600000000000011</v>
      </c>
      <c r="G61" s="13">
        <v>8800</v>
      </c>
      <c r="H61" s="21">
        <v>2.4300000000000002</v>
      </c>
    </row>
    <row r="62" spans="1:8" ht="12.2" customHeight="1">
      <c r="A62" s="8" t="s">
        <v>127</v>
      </c>
      <c r="B62" s="9">
        <f>0.262-0.076+0.052+0.546-0.145+0.534-0.534-0.142-0.067-0.285+0.846-0.074-0.04-0.144-0.338-0.101-0.199-0.058+1.05-0.198-0.55-0.115+1.1-0.13-0.52-0.036-0.163-0.119-0.05-0.044-0.119-0.022+0.96</f>
        <v>1.081</v>
      </c>
      <c r="C62" s="10">
        <v>5200</v>
      </c>
      <c r="D62" s="50" t="s">
        <v>368</v>
      </c>
      <c r="E62" s="11" t="s">
        <v>230</v>
      </c>
      <c r="F62" s="9">
        <f>2.5-0.208-0.15-0.465-0.166-0.07-0.423</f>
        <v>1.0179999999999998</v>
      </c>
      <c r="G62" s="13">
        <v>8800</v>
      </c>
      <c r="H62" s="21" t="s">
        <v>311</v>
      </c>
    </row>
    <row r="63" spans="1:8" ht="12.2" customHeight="1">
      <c r="A63" s="8" t="s">
        <v>137</v>
      </c>
      <c r="B63" s="9">
        <f>0.203-0.085-0.013</f>
        <v>0.10500000000000001</v>
      </c>
      <c r="C63" s="10">
        <v>5200</v>
      </c>
      <c r="D63" s="21" t="s">
        <v>133</v>
      </c>
      <c r="E63" s="8" t="s">
        <v>231</v>
      </c>
      <c r="F63" s="9">
        <f>0.79-0.272-0.011</f>
        <v>0.50700000000000001</v>
      </c>
      <c r="G63" s="10">
        <v>8800</v>
      </c>
      <c r="H63" s="21">
        <v>2</v>
      </c>
    </row>
    <row r="64" spans="1:8" ht="12.2" customHeight="1">
      <c r="A64" s="8" t="s">
        <v>15</v>
      </c>
      <c r="B64" s="9">
        <f>1.506-0.517-0.205-0.06+0.887-0.724-0.204+0.158-0.08-0.103+0.074+0.114+1.06-0.629-0.39-0.47+0.96-0.308-0.15</f>
        <v>0.91900000000000015</v>
      </c>
      <c r="C64" s="10">
        <v>5200</v>
      </c>
      <c r="D64" s="31" t="s">
        <v>263</v>
      </c>
      <c r="E64" s="8" t="s">
        <v>232</v>
      </c>
      <c r="F64" s="9">
        <f>0.57-0.172</f>
        <v>0.39799999999999996</v>
      </c>
      <c r="G64" s="10">
        <v>8800</v>
      </c>
      <c r="H64" s="21">
        <v>0.9</v>
      </c>
    </row>
    <row r="65" spans="1:8" ht="12.2" customHeight="1">
      <c r="A65" s="8" t="s">
        <v>151</v>
      </c>
      <c r="B65" s="9">
        <f>0.108-0.053-0.006</f>
        <v>4.9000000000000002E-2</v>
      </c>
      <c r="C65" s="10">
        <v>14000</v>
      </c>
      <c r="D65" s="31" t="s">
        <v>152</v>
      </c>
      <c r="E65" s="11" t="s">
        <v>174</v>
      </c>
      <c r="F65" s="12">
        <f>0.521</f>
        <v>0.52100000000000002</v>
      </c>
      <c r="G65" s="13">
        <v>4500</v>
      </c>
      <c r="H65" s="23" t="s">
        <v>309</v>
      </c>
    </row>
    <row r="66" spans="1:8" ht="12.2" customHeight="1" thickBot="1">
      <c r="A66" s="8" t="s">
        <v>43</v>
      </c>
      <c r="B66" s="9">
        <f>0.1-0.07-0.002-0.002</f>
        <v>2.5999999999999995E-2</v>
      </c>
      <c r="C66" s="10">
        <v>14000</v>
      </c>
      <c r="D66" s="21" t="s">
        <v>52</v>
      </c>
      <c r="E66" s="17" t="s">
        <v>27</v>
      </c>
      <c r="F66" s="18">
        <f>0.121-0.09</f>
        <v>3.1E-2</v>
      </c>
      <c r="G66" s="19">
        <v>5500</v>
      </c>
      <c r="H66" s="22" t="s">
        <v>45</v>
      </c>
    </row>
    <row r="67" spans="1:8" ht="12.2" customHeight="1">
      <c r="A67" s="8" t="s">
        <v>222</v>
      </c>
      <c r="B67" s="9">
        <f>0.09-0.04-0.031</f>
        <v>1.8999999999999996E-2</v>
      </c>
      <c r="C67" s="10">
        <v>14000</v>
      </c>
      <c r="D67" s="21" t="s">
        <v>223</v>
      </c>
      <c r="E67" s="11" t="s">
        <v>36</v>
      </c>
      <c r="F67" s="12">
        <f>0.115-0.039</f>
        <v>7.6000000000000012E-2</v>
      </c>
      <c r="G67" s="13">
        <v>5800</v>
      </c>
      <c r="H67" s="23" t="s">
        <v>70</v>
      </c>
    </row>
    <row r="68" spans="1:8" ht="12.2" customHeight="1">
      <c r="A68" s="8" t="s">
        <v>29</v>
      </c>
      <c r="B68" s="9">
        <f>1</f>
        <v>1</v>
      </c>
      <c r="C68" s="10">
        <v>14000</v>
      </c>
      <c r="D68" s="21" t="s">
        <v>30</v>
      </c>
      <c r="E68" s="8" t="s">
        <v>39</v>
      </c>
      <c r="F68" s="9">
        <f>0.23-0.049-0.044-0.045</f>
        <v>9.2000000000000012E-2</v>
      </c>
      <c r="G68" s="13">
        <v>5800</v>
      </c>
      <c r="H68" s="21">
        <v>270</v>
      </c>
    </row>
    <row r="69" spans="1:8" ht="12.2" customHeight="1">
      <c r="A69" s="8" t="s">
        <v>216</v>
      </c>
      <c r="B69" s="9">
        <f>1</f>
        <v>1</v>
      </c>
      <c r="C69" s="10">
        <v>14000</v>
      </c>
      <c r="D69" s="21" t="s">
        <v>30</v>
      </c>
      <c r="E69" s="8" t="s">
        <v>40</v>
      </c>
      <c r="F69" s="9">
        <f>0.134-0.047</f>
        <v>8.7000000000000008E-2</v>
      </c>
      <c r="G69" s="13">
        <v>5800</v>
      </c>
      <c r="H69" s="32" t="s">
        <v>97</v>
      </c>
    </row>
    <row r="70" spans="1:8" ht="12.2" customHeight="1">
      <c r="A70" s="8" t="s">
        <v>239</v>
      </c>
      <c r="B70" s="9">
        <f>0.506-0.173</f>
        <v>0.33300000000000002</v>
      </c>
      <c r="C70" s="10">
        <v>14000</v>
      </c>
      <c r="D70" s="21" t="s">
        <v>326</v>
      </c>
      <c r="E70" s="8" t="s">
        <v>38</v>
      </c>
      <c r="F70" s="9">
        <f>0.34-0.051-0.051</f>
        <v>0.23800000000000004</v>
      </c>
      <c r="G70" s="10">
        <v>5800</v>
      </c>
      <c r="H70" s="21" t="s">
        <v>94</v>
      </c>
    </row>
    <row r="71" spans="1:8" ht="12.2" customHeight="1">
      <c r="A71" s="8" t="s">
        <v>63</v>
      </c>
      <c r="B71" s="9">
        <f>0.208+0.336+0.248-0.058-0.118-0.297-0.012-0.061+0.289-0.062-0.194</f>
        <v>0.27899999999999991</v>
      </c>
      <c r="C71" s="10">
        <v>14000</v>
      </c>
      <c r="D71" s="31" t="s">
        <v>128</v>
      </c>
      <c r="E71" s="11" t="s">
        <v>35</v>
      </c>
      <c r="F71" s="12">
        <f>0.081</f>
        <v>8.1000000000000003E-2</v>
      </c>
      <c r="G71" s="13">
        <v>5800</v>
      </c>
      <c r="H71" s="23" t="s">
        <v>41</v>
      </c>
    </row>
    <row r="72" spans="1:8" ht="12.2" customHeight="1" thickBot="1">
      <c r="A72" s="8" t="s">
        <v>71</v>
      </c>
      <c r="B72" s="9">
        <f>1</f>
        <v>1</v>
      </c>
      <c r="C72" s="10">
        <v>14000</v>
      </c>
      <c r="D72" s="21" t="s">
        <v>30</v>
      </c>
      <c r="E72" s="17" t="s">
        <v>37</v>
      </c>
      <c r="F72" s="18">
        <f>0.092-0.042</f>
        <v>4.9999999999999996E-2</v>
      </c>
      <c r="G72" s="19">
        <v>5800</v>
      </c>
      <c r="H72" s="22">
        <v>340</v>
      </c>
    </row>
    <row r="73" spans="1:8" ht="12.2" customHeight="1">
      <c r="A73" s="8" t="s">
        <v>22</v>
      </c>
      <c r="B73" s="9">
        <f>0.091+0.104+0.09+0.32-0.135+0.273+0.046-0.162-0.433</f>
        <v>0.19400000000000001</v>
      </c>
      <c r="C73" s="10">
        <v>14000</v>
      </c>
      <c r="D73" s="21" t="s">
        <v>157</v>
      </c>
      <c r="E73" s="11" t="s">
        <v>110</v>
      </c>
      <c r="F73" s="12">
        <f>0.336</f>
        <v>0.33600000000000002</v>
      </c>
      <c r="G73" s="13">
        <v>8600</v>
      </c>
      <c r="H73" s="23">
        <v>3.8</v>
      </c>
    </row>
    <row r="74" spans="1:8" ht="12.2" customHeight="1" thickBot="1">
      <c r="A74" s="8" t="s">
        <v>129</v>
      </c>
      <c r="B74" s="9">
        <f>0.716+0.177-0.184</f>
        <v>0.70900000000000007</v>
      </c>
      <c r="C74" s="10">
        <v>14000</v>
      </c>
      <c r="D74" s="21" t="s">
        <v>164</v>
      </c>
      <c r="E74" s="17" t="s">
        <v>59</v>
      </c>
      <c r="F74" s="18">
        <f>0.05</f>
        <v>0.05</v>
      </c>
      <c r="G74" s="19">
        <v>8600</v>
      </c>
      <c r="H74" s="22">
        <v>7.0000000000000007E-2</v>
      </c>
    </row>
    <row r="75" spans="1:8" ht="12.2" customHeight="1">
      <c r="A75" s="8" t="s">
        <v>160</v>
      </c>
      <c r="B75" s="9">
        <f>1</f>
        <v>1</v>
      </c>
      <c r="C75" s="10">
        <v>14000</v>
      </c>
      <c r="D75" s="21" t="s">
        <v>30</v>
      </c>
      <c r="E75" s="11" t="s">
        <v>44</v>
      </c>
      <c r="F75" s="12">
        <f>0.315-0.05</f>
        <v>0.26500000000000001</v>
      </c>
      <c r="G75" s="13">
        <v>15000</v>
      </c>
      <c r="H75" s="23">
        <v>2.5299999999999998</v>
      </c>
    </row>
    <row r="76" spans="1:8" ht="12.2" customHeight="1">
      <c r="A76" s="8" t="s">
        <v>104</v>
      </c>
      <c r="B76" s="9">
        <f>0.362+0.21-0.206-0.184</f>
        <v>0.182</v>
      </c>
      <c r="C76" s="10">
        <v>14000</v>
      </c>
      <c r="D76" s="21">
        <v>2.9</v>
      </c>
      <c r="E76" s="8" t="s">
        <v>225</v>
      </c>
      <c r="F76" s="9">
        <f>1</f>
        <v>1</v>
      </c>
      <c r="G76" s="10">
        <v>15000</v>
      </c>
      <c r="H76" s="21" t="s">
        <v>30</v>
      </c>
    </row>
    <row r="77" spans="1:8" ht="12.2" customHeight="1">
      <c r="A77" s="8" t="s">
        <v>130</v>
      </c>
      <c r="B77" s="9">
        <f>1</f>
        <v>1</v>
      </c>
      <c r="C77" s="10">
        <v>14000</v>
      </c>
      <c r="D77" s="21" t="s">
        <v>30</v>
      </c>
      <c r="E77" s="8" t="s">
        <v>226</v>
      </c>
      <c r="F77" s="9">
        <f>0.602-0.225</f>
        <v>0.377</v>
      </c>
      <c r="G77" s="10">
        <v>15000</v>
      </c>
      <c r="H77" s="21">
        <v>5.8</v>
      </c>
    </row>
    <row r="78" spans="1:8" ht="12.2" customHeight="1">
      <c r="A78" s="8" t="s">
        <v>103</v>
      </c>
      <c r="B78" s="9">
        <f>0.144-0.062</f>
        <v>8.199999999999999E-2</v>
      </c>
      <c r="C78" s="10">
        <v>14000</v>
      </c>
      <c r="D78" s="21">
        <v>0.65</v>
      </c>
      <c r="E78" s="8" t="s">
        <v>227</v>
      </c>
      <c r="F78" s="9">
        <f>1</f>
        <v>1</v>
      </c>
      <c r="G78" s="10">
        <v>15000</v>
      </c>
      <c r="H78" s="21" t="s">
        <v>30</v>
      </c>
    </row>
    <row r="79" spans="1:8" ht="12.2" customHeight="1" thickBot="1">
      <c r="A79" s="8" t="s">
        <v>111</v>
      </c>
      <c r="B79" s="9">
        <f>0.261-0.209</f>
        <v>5.2000000000000018E-2</v>
      </c>
      <c r="C79" s="10">
        <v>14000</v>
      </c>
      <c r="D79" s="21">
        <v>0.35</v>
      </c>
      <c r="E79" s="14" t="s">
        <v>119</v>
      </c>
      <c r="F79" s="15">
        <f>1</f>
        <v>1</v>
      </c>
      <c r="G79" s="16">
        <v>15000</v>
      </c>
      <c r="H79" s="24" t="s">
        <v>30</v>
      </c>
    </row>
    <row r="80" spans="1:8" ht="12.2" customHeight="1" thickBot="1">
      <c r="A80" s="14" t="s">
        <v>362</v>
      </c>
      <c r="B80" s="15">
        <f>1</f>
        <v>1</v>
      </c>
      <c r="C80" s="16">
        <v>14000</v>
      </c>
      <c r="D80" s="24" t="s">
        <v>30</v>
      </c>
      <c r="E80" s="39" t="s">
        <v>234</v>
      </c>
      <c r="F80" s="43">
        <f>1</f>
        <v>1</v>
      </c>
      <c r="G80" s="40">
        <v>8200</v>
      </c>
      <c r="H80" s="44" t="s">
        <v>30</v>
      </c>
    </row>
    <row r="81" spans="1:8" ht="12.2" customHeight="1" thickBot="1">
      <c r="A81" s="39" t="s">
        <v>194</v>
      </c>
      <c r="B81" s="43">
        <f>1</f>
        <v>1</v>
      </c>
      <c r="C81" s="40">
        <v>17000</v>
      </c>
      <c r="D81" s="44" t="s">
        <v>30</v>
      </c>
      <c r="E81" s="39" t="s">
        <v>299</v>
      </c>
      <c r="F81" s="43">
        <f>0.621</f>
        <v>0.621</v>
      </c>
      <c r="G81" s="40">
        <v>8200</v>
      </c>
      <c r="H81" s="44" t="s">
        <v>300</v>
      </c>
    </row>
    <row r="82" spans="1:8" ht="12.2" customHeight="1">
      <c r="A82" s="27" t="s">
        <v>161</v>
      </c>
      <c r="B82" s="9">
        <f>1</f>
        <v>1</v>
      </c>
      <c r="C82" s="10">
        <v>17000</v>
      </c>
      <c r="D82" s="30" t="s">
        <v>30</v>
      </c>
      <c r="E82" s="39" t="s">
        <v>302</v>
      </c>
      <c r="F82" s="43">
        <f>0.307</f>
        <v>0.307</v>
      </c>
      <c r="G82" s="40">
        <v>8200</v>
      </c>
      <c r="H82" s="44" t="s">
        <v>301</v>
      </c>
    </row>
    <row r="83" spans="1:8" ht="12.2" customHeight="1" thickBot="1">
      <c r="A83" s="8" t="s">
        <v>213</v>
      </c>
      <c r="B83" s="12">
        <f>1</f>
        <v>1</v>
      </c>
      <c r="C83" s="13">
        <v>17000</v>
      </c>
      <c r="D83" s="21" t="s">
        <v>30</v>
      </c>
      <c r="E83" s="14" t="s">
        <v>24</v>
      </c>
      <c r="F83" s="15">
        <f>0.37</f>
        <v>0.37</v>
      </c>
      <c r="G83" s="16">
        <v>5200</v>
      </c>
      <c r="H83" s="24" t="s">
        <v>25</v>
      </c>
    </row>
    <row r="84" spans="1:8" ht="12.2" customHeight="1">
      <c r="A84" s="8" t="s">
        <v>202</v>
      </c>
      <c r="B84" s="12">
        <f>0.502-0.173</f>
        <v>0.32900000000000001</v>
      </c>
      <c r="C84" s="13">
        <v>17000</v>
      </c>
      <c r="D84" s="21" t="s">
        <v>360</v>
      </c>
      <c r="E84" s="11" t="s">
        <v>334</v>
      </c>
      <c r="F84" s="12">
        <f>0.718-0.298</f>
        <v>0.42</v>
      </c>
      <c r="G84" s="13">
        <v>5400</v>
      </c>
      <c r="H84" s="23" t="s">
        <v>335</v>
      </c>
    </row>
    <row r="85" spans="1:8" ht="12.2" customHeight="1">
      <c r="A85" s="8" t="s">
        <v>116</v>
      </c>
      <c r="B85" s="12">
        <f>1</f>
        <v>1</v>
      </c>
      <c r="C85" s="13">
        <v>17000</v>
      </c>
      <c r="D85" s="21" t="s">
        <v>30</v>
      </c>
      <c r="E85" s="11" t="s">
        <v>220</v>
      </c>
      <c r="F85" s="12">
        <f>1</f>
        <v>1</v>
      </c>
      <c r="G85" s="13">
        <v>5400</v>
      </c>
      <c r="H85" s="23" t="s">
        <v>30</v>
      </c>
    </row>
    <row r="86" spans="1:8" ht="12.2" customHeight="1">
      <c r="A86" s="8" t="s">
        <v>315</v>
      </c>
      <c r="B86" s="12">
        <f>1</f>
        <v>1</v>
      </c>
      <c r="C86" s="13">
        <v>17000</v>
      </c>
      <c r="D86" s="21" t="s">
        <v>30</v>
      </c>
      <c r="E86" s="11" t="s">
        <v>284</v>
      </c>
      <c r="F86" s="12">
        <f>1</f>
        <v>1</v>
      </c>
      <c r="G86" s="13">
        <v>5400</v>
      </c>
      <c r="H86" s="23" t="s">
        <v>30</v>
      </c>
    </row>
    <row r="87" spans="1:8" ht="12.2" customHeight="1">
      <c r="A87" s="8" t="s">
        <v>344</v>
      </c>
      <c r="B87" s="12">
        <f>0.681-0.15-0.132-0.133</f>
        <v>0.26600000000000001</v>
      </c>
      <c r="C87" s="29">
        <v>17000</v>
      </c>
      <c r="D87" s="21" t="s">
        <v>374</v>
      </c>
      <c r="E87" s="11" t="s">
        <v>180</v>
      </c>
      <c r="F87" s="12">
        <v>1</v>
      </c>
      <c r="G87" s="13">
        <v>5400</v>
      </c>
      <c r="H87" s="23" t="s">
        <v>30</v>
      </c>
    </row>
    <row r="88" spans="1:8" ht="12.2" customHeight="1">
      <c r="A88" s="8" t="s">
        <v>221</v>
      </c>
      <c r="B88" s="9">
        <f>0.668-0.204+0.38-0.228</f>
        <v>0.6160000000000001</v>
      </c>
      <c r="C88" s="10">
        <v>17000</v>
      </c>
      <c r="D88" s="21" t="s">
        <v>332</v>
      </c>
      <c r="E88" s="11" t="s">
        <v>348</v>
      </c>
      <c r="F88" s="12">
        <f>1.77-0.885</f>
        <v>0.88500000000000001</v>
      </c>
      <c r="G88" s="13">
        <v>5400</v>
      </c>
      <c r="H88" s="23" t="s">
        <v>228</v>
      </c>
    </row>
    <row r="89" spans="1:8" ht="12.2" customHeight="1" thickBot="1">
      <c r="A89" s="14" t="s">
        <v>98</v>
      </c>
      <c r="B89" s="15">
        <f>1</f>
        <v>1</v>
      </c>
      <c r="C89" s="16">
        <v>17000</v>
      </c>
      <c r="D89" s="24" t="s">
        <v>30</v>
      </c>
      <c r="E89" s="11" t="s">
        <v>247</v>
      </c>
      <c r="F89" s="12">
        <f>2.13-1.065-0.177-0.178-0.177</f>
        <v>0.53299999999999992</v>
      </c>
      <c r="G89" s="13">
        <v>5400</v>
      </c>
      <c r="H89" s="23" t="s">
        <v>364</v>
      </c>
    </row>
    <row r="90" spans="1:8" ht="12.2" customHeight="1">
      <c r="A90" s="8" t="s">
        <v>189</v>
      </c>
      <c r="B90" s="9">
        <f>0.3-0.08-0.022-0.053-0.031-0.08</f>
        <v>3.3999999999999989E-2</v>
      </c>
      <c r="C90" s="13">
        <v>14000</v>
      </c>
      <c r="D90" s="21">
        <v>5</v>
      </c>
      <c r="E90" s="11" t="s">
        <v>248</v>
      </c>
      <c r="F90" s="12">
        <f>2.13-1.065</f>
        <v>1.0649999999999999</v>
      </c>
      <c r="G90" s="13">
        <v>5400</v>
      </c>
      <c r="H90" s="23" t="s">
        <v>228</v>
      </c>
    </row>
    <row r="91" spans="1:8" ht="12.2" customHeight="1">
      <c r="A91" s="8" t="s">
        <v>190</v>
      </c>
      <c r="B91" s="9">
        <f>0.046</f>
        <v>4.5999999999999999E-2</v>
      </c>
      <c r="C91" s="13">
        <v>14000</v>
      </c>
      <c r="D91" s="21" t="s">
        <v>345</v>
      </c>
      <c r="E91" s="11" t="s">
        <v>245</v>
      </c>
      <c r="F91" s="12">
        <f>1.41-0.237-0.238-0.459</f>
        <v>0.47600000000000003</v>
      </c>
      <c r="G91" s="13">
        <v>5400</v>
      </c>
      <c r="H91" s="23" t="s">
        <v>375</v>
      </c>
    </row>
    <row r="92" spans="1:8" ht="12.2" customHeight="1">
      <c r="A92" s="8" t="s">
        <v>89</v>
      </c>
      <c r="B92" s="9">
        <f>0.159-0.04+0.504-0.077-0.23+0.345-0.032-0.015-0.1-0.032-0.208</f>
        <v>0.27400000000000002</v>
      </c>
      <c r="C92" s="13">
        <v>14000</v>
      </c>
      <c r="D92" s="41" t="s">
        <v>156</v>
      </c>
      <c r="E92" s="11" t="s">
        <v>285</v>
      </c>
      <c r="F92" s="12">
        <f>2.84-1.42</f>
        <v>1.42</v>
      </c>
      <c r="G92" s="13">
        <v>5400</v>
      </c>
      <c r="H92" s="23" t="s">
        <v>228</v>
      </c>
    </row>
    <row r="93" spans="1:8" ht="12.2" customHeight="1">
      <c r="A93" s="8" t="s">
        <v>181</v>
      </c>
      <c r="B93" s="9">
        <f>1</f>
        <v>1</v>
      </c>
      <c r="C93" s="13">
        <v>14000</v>
      </c>
      <c r="D93" s="41" t="s">
        <v>30</v>
      </c>
      <c r="E93" s="11" t="s">
        <v>242</v>
      </c>
      <c r="F93" s="12">
        <f>1.846-0.314-0.59-0.314</f>
        <v>0.62800000000000011</v>
      </c>
      <c r="G93" s="13">
        <v>5400</v>
      </c>
      <c r="H93" s="23" t="s">
        <v>380</v>
      </c>
    </row>
    <row r="94" spans="1:8" ht="12.2" customHeight="1">
      <c r="A94" s="8" t="s">
        <v>95</v>
      </c>
      <c r="B94" s="9">
        <f>1</f>
        <v>1</v>
      </c>
      <c r="C94" s="13">
        <v>14000</v>
      </c>
      <c r="D94" s="41" t="s">
        <v>30</v>
      </c>
      <c r="E94" s="11" t="s">
        <v>286</v>
      </c>
      <c r="F94" s="12">
        <f>0.942</f>
        <v>0.94199999999999995</v>
      </c>
      <c r="G94" s="13">
        <v>5400</v>
      </c>
      <c r="H94" s="23" t="s">
        <v>327</v>
      </c>
    </row>
    <row r="95" spans="1:8" ht="12.2" customHeight="1">
      <c r="A95" s="8" t="s">
        <v>23</v>
      </c>
      <c r="B95" s="9">
        <f>1</f>
        <v>1</v>
      </c>
      <c r="C95" s="13">
        <v>14000</v>
      </c>
      <c r="D95" s="21" t="s">
        <v>30</v>
      </c>
      <c r="E95" s="11" t="s">
        <v>287</v>
      </c>
      <c r="F95" s="12">
        <f>2.251-0.379-0.379</f>
        <v>1.4929999999999999</v>
      </c>
      <c r="G95" s="13">
        <v>5400</v>
      </c>
      <c r="H95" s="23" t="s">
        <v>363</v>
      </c>
    </row>
    <row r="96" spans="1:8" ht="12.2" customHeight="1">
      <c r="A96" s="8" t="s">
        <v>187</v>
      </c>
      <c r="B96" s="9">
        <f>0.31-0.022+0.22-0.023+0.55-0.485-0.055</f>
        <v>0.49500000000000016</v>
      </c>
      <c r="C96" s="13">
        <v>14000</v>
      </c>
      <c r="D96" s="31" t="s">
        <v>324</v>
      </c>
      <c r="E96" s="11" t="s">
        <v>288</v>
      </c>
      <c r="F96" s="12">
        <f>1</f>
        <v>1</v>
      </c>
      <c r="G96" s="13">
        <v>5400</v>
      </c>
      <c r="H96" s="23" t="s">
        <v>30</v>
      </c>
    </row>
    <row r="97" spans="1:8" ht="12.2" customHeight="1" thickBot="1">
      <c r="A97" s="8" t="s">
        <v>371</v>
      </c>
      <c r="B97" s="9">
        <f>0.081</f>
        <v>8.1000000000000003E-2</v>
      </c>
      <c r="C97" s="13">
        <v>14000</v>
      </c>
      <c r="D97" s="21">
        <v>2.69</v>
      </c>
      <c r="E97" s="17" t="s">
        <v>200</v>
      </c>
      <c r="F97" s="18">
        <f>1.248-0.729</f>
        <v>0.51900000000000002</v>
      </c>
      <c r="G97" s="19">
        <v>5400</v>
      </c>
      <c r="H97" s="22" t="s">
        <v>201</v>
      </c>
    </row>
    <row r="98" spans="1:8" ht="12.2" customHeight="1" thickBot="1">
      <c r="A98" s="8" t="s">
        <v>179</v>
      </c>
      <c r="B98" s="9">
        <f>0.468-0.118+0.72-0.51-0.217</f>
        <v>0.34300000000000008</v>
      </c>
      <c r="C98" s="13">
        <v>14000</v>
      </c>
      <c r="D98" s="21" t="s">
        <v>211</v>
      </c>
      <c r="E98" s="17" t="s">
        <v>198</v>
      </c>
      <c r="F98" s="18">
        <f>0.602-0.301</f>
        <v>0.30099999999999999</v>
      </c>
      <c r="G98" s="19">
        <v>5400</v>
      </c>
      <c r="H98" s="22" t="s">
        <v>199</v>
      </c>
    </row>
    <row r="99" spans="1:8" ht="12.2" customHeight="1">
      <c r="A99" s="8" t="s">
        <v>114</v>
      </c>
      <c r="B99" s="9">
        <f>0.2-0.008</f>
        <v>0.192</v>
      </c>
      <c r="C99" s="13">
        <v>14000</v>
      </c>
      <c r="D99" s="21" t="s">
        <v>115</v>
      </c>
      <c r="E99" s="11" t="s">
        <v>50</v>
      </c>
      <c r="F99" s="12">
        <f>1</f>
        <v>1</v>
      </c>
      <c r="G99" s="13">
        <v>5600</v>
      </c>
      <c r="H99" s="23" t="s">
        <v>30</v>
      </c>
    </row>
    <row r="100" spans="1:8" ht="12.2" customHeight="1">
      <c r="A100" s="8" t="s">
        <v>150</v>
      </c>
      <c r="B100" s="9">
        <f>1</f>
        <v>1</v>
      </c>
      <c r="C100" s="13">
        <v>14000</v>
      </c>
      <c r="D100" s="21" t="s">
        <v>30</v>
      </c>
      <c r="E100" s="11" t="s">
        <v>51</v>
      </c>
      <c r="F100" s="9">
        <f>2.088-0.174-0.174-0.174-0.174-0.174-0.348-0.174</f>
        <v>0.6960000000000004</v>
      </c>
      <c r="G100" s="13">
        <v>5600</v>
      </c>
      <c r="H100" s="21" t="s">
        <v>373</v>
      </c>
    </row>
    <row r="101" spans="1:8" ht="12.2" customHeight="1">
      <c r="A101" s="8" t="s">
        <v>273</v>
      </c>
      <c r="B101" s="9">
        <f>0.6-0.31</f>
        <v>0.28999999999999998</v>
      </c>
      <c r="C101" s="13">
        <v>14000</v>
      </c>
      <c r="D101" s="21">
        <v>2.78</v>
      </c>
      <c r="E101" s="8" t="s">
        <v>238</v>
      </c>
      <c r="F101" s="9">
        <f>2.89-0.065-0.071-0.482-0.175-0.241-0.241-0.241-0.41-0.241</f>
        <v>0.7230000000000002</v>
      </c>
      <c r="G101" s="10">
        <v>5600</v>
      </c>
      <c r="H101" s="21" t="s">
        <v>365</v>
      </c>
    </row>
    <row r="102" spans="1:8" ht="12.2" customHeight="1">
      <c r="A102" s="8" t="s">
        <v>177</v>
      </c>
      <c r="B102" s="9">
        <f>1</f>
        <v>1</v>
      </c>
      <c r="C102" s="13">
        <v>14000</v>
      </c>
      <c r="D102" s="21" t="s">
        <v>30</v>
      </c>
      <c r="E102" s="8" t="s">
        <v>307</v>
      </c>
      <c r="F102" s="9">
        <f>3.62-0.3-0.302-0.604-0.302</f>
        <v>2.1120000000000001</v>
      </c>
      <c r="G102" s="10">
        <v>5600</v>
      </c>
      <c r="H102" s="21" t="s">
        <v>379</v>
      </c>
    </row>
    <row r="103" spans="1:8" ht="12.2" customHeight="1" thickBot="1">
      <c r="A103" s="8" t="s">
        <v>149</v>
      </c>
      <c r="B103" s="9">
        <f>2.49-0.22-1.64-0.391-0.068</f>
        <v>0.1710000000000001</v>
      </c>
      <c r="C103" s="10">
        <v>14000</v>
      </c>
      <c r="D103" s="21">
        <v>1</v>
      </c>
      <c r="E103" s="14" t="s">
        <v>204</v>
      </c>
      <c r="F103" s="15">
        <f>4.533</f>
        <v>4.5330000000000004</v>
      </c>
      <c r="G103" s="16">
        <v>5600</v>
      </c>
      <c r="H103" s="24" t="s">
        <v>325</v>
      </c>
    </row>
    <row r="104" spans="1:8" ht="12.2" customHeight="1" thickBot="1">
      <c r="A104" s="14" t="s">
        <v>224</v>
      </c>
      <c r="B104" s="15">
        <f>1</f>
        <v>1</v>
      </c>
      <c r="C104" s="16">
        <v>14000</v>
      </c>
      <c r="D104" s="24" t="s">
        <v>30</v>
      </c>
      <c r="E104" s="39" t="s">
        <v>240</v>
      </c>
      <c r="F104" s="43">
        <f>1.416-0.118</f>
        <v>1.298</v>
      </c>
      <c r="G104" s="40">
        <v>5200</v>
      </c>
      <c r="H104" s="44" t="s">
        <v>366</v>
      </c>
    </row>
    <row r="105" spans="1:8" ht="12.2" customHeight="1">
      <c r="A105" s="11" t="s">
        <v>235</v>
      </c>
      <c r="B105" s="12">
        <f>0.36-0.242</f>
        <v>0.11799999999999999</v>
      </c>
      <c r="C105" s="13">
        <v>18000</v>
      </c>
      <c r="D105" s="49" t="s">
        <v>236</v>
      </c>
      <c r="E105" s="11" t="s">
        <v>188</v>
      </c>
      <c r="F105" s="12">
        <f>2.16-0.543-0.543-0.169-0.543+2.148</f>
        <v>2.5099999999999998</v>
      </c>
      <c r="G105" s="13">
        <v>5200</v>
      </c>
      <c r="H105" s="23" t="s">
        <v>272</v>
      </c>
    </row>
    <row r="106" spans="1:8" ht="12.2" customHeight="1">
      <c r="A106" s="11" t="s">
        <v>357</v>
      </c>
      <c r="B106" s="12">
        <f>1</f>
        <v>1</v>
      </c>
      <c r="C106" s="13">
        <v>18000</v>
      </c>
      <c r="D106" s="49" t="s">
        <v>30</v>
      </c>
      <c r="E106" s="11" t="s">
        <v>197</v>
      </c>
      <c r="F106" s="12">
        <f>2.826-0.714-0.237-0.238-0.213-0.238-0.237</f>
        <v>0.94899999999999995</v>
      </c>
      <c r="G106" s="13">
        <v>5200</v>
      </c>
      <c r="H106" s="23" t="s">
        <v>331</v>
      </c>
    </row>
    <row r="107" spans="1:8" ht="12.2" customHeight="1">
      <c r="A107" s="11" t="s">
        <v>212</v>
      </c>
      <c r="B107" s="12">
        <f>0.354+0.534-0.106-0.354+0.742-0.428</f>
        <v>0.74199999999999999</v>
      </c>
      <c r="C107" s="13">
        <v>18000</v>
      </c>
      <c r="D107" s="51" t="s">
        <v>354</v>
      </c>
      <c r="E107" s="11" t="s">
        <v>241</v>
      </c>
      <c r="F107" s="12">
        <f>3.516-0.145-0.293-0.043-0.586-0.105</f>
        <v>2.3439999999999999</v>
      </c>
      <c r="G107" s="13">
        <v>5200</v>
      </c>
      <c r="H107" s="23" t="s">
        <v>378</v>
      </c>
    </row>
    <row r="108" spans="1:8" ht="12.2" customHeight="1">
      <c r="A108" s="11" t="s">
        <v>355</v>
      </c>
      <c r="B108" s="12">
        <f>0.774</f>
        <v>0.77400000000000002</v>
      </c>
      <c r="C108" s="13">
        <v>18000</v>
      </c>
      <c r="D108" s="51" t="s">
        <v>356</v>
      </c>
      <c r="E108" s="11" t="s">
        <v>214</v>
      </c>
      <c r="F108" s="12">
        <f>1</f>
        <v>1</v>
      </c>
      <c r="G108" s="13">
        <v>5200</v>
      </c>
      <c r="H108" s="23" t="s">
        <v>30</v>
      </c>
    </row>
    <row r="109" spans="1:8" ht="12.2" customHeight="1">
      <c r="A109" s="8" t="s">
        <v>207</v>
      </c>
      <c r="B109" s="9">
        <f>0.311</f>
        <v>0.311</v>
      </c>
      <c r="C109" s="10">
        <v>18000</v>
      </c>
      <c r="D109" s="41" t="s">
        <v>208</v>
      </c>
      <c r="E109" s="11" t="s">
        <v>219</v>
      </c>
      <c r="F109" s="12">
        <f>1</f>
        <v>1</v>
      </c>
      <c r="G109" s="13">
        <v>5200</v>
      </c>
      <c r="H109" s="23" t="s">
        <v>30</v>
      </c>
    </row>
    <row r="110" spans="1:8" ht="12.2" customHeight="1" thickBot="1">
      <c r="A110" s="8" t="s">
        <v>162</v>
      </c>
      <c r="B110" s="9">
        <f>0.686-0.206+0.49-0.725</f>
        <v>0.24500000000000011</v>
      </c>
      <c r="C110" s="10">
        <v>18000</v>
      </c>
      <c r="D110" s="41" t="s">
        <v>312</v>
      </c>
      <c r="E110" s="14" t="s">
        <v>139</v>
      </c>
      <c r="F110" s="15">
        <f>1</f>
        <v>1</v>
      </c>
      <c r="G110" s="16">
        <v>5200</v>
      </c>
      <c r="H110" s="24" t="s">
        <v>30</v>
      </c>
    </row>
    <row r="111" spans="1:8" ht="12.2" customHeight="1" thickBot="1">
      <c r="A111" s="8" t="s">
        <v>163</v>
      </c>
      <c r="B111" s="9">
        <f>1</f>
        <v>1</v>
      </c>
      <c r="C111" s="10">
        <v>18000</v>
      </c>
      <c r="D111" s="41" t="s">
        <v>30</v>
      </c>
      <c r="E111" s="54" t="s">
        <v>165</v>
      </c>
      <c r="F111" s="55">
        <f>1</f>
        <v>1</v>
      </c>
      <c r="G111" s="56">
        <v>6200</v>
      </c>
      <c r="H111" s="57" t="s">
        <v>30</v>
      </c>
    </row>
    <row r="112" spans="1:8" ht="12.2" customHeight="1" thickBot="1">
      <c r="A112" s="17" t="s">
        <v>123</v>
      </c>
      <c r="B112" s="18">
        <f>1.12-1.002</f>
        <v>0.1180000000000001</v>
      </c>
      <c r="C112" s="19">
        <v>18000</v>
      </c>
      <c r="D112" s="22" t="s">
        <v>117</v>
      </c>
      <c r="E112" s="14" t="s">
        <v>96</v>
      </c>
      <c r="F112" s="15">
        <f>0.24-0.12</f>
        <v>0.12</v>
      </c>
      <c r="G112" s="16">
        <v>3200</v>
      </c>
      <c r="H112" s="24">
        <v>0.4</v>
      </c>
    </row>
    <row r="113" spans="1:8" ht="12.2" customHeight="1" thickBot="1">
      <c r="A113" s="11" t="s">
        <v>148</v>
      </c>
      <c r="B113" s="12">
        <f>0.312+0.212-0.214+0.15-0.077-0.362+0.406-0.135-0.137-0.137+0.34-0.039</f>
        <v>0.31900000000000012</v>
      </c>
      <c r="C113" s="13">
        <v>18000</v>
      </c>
      <c r="D113" s="23" t="s">
        <v>342</v>
      </c>
      <c r="E113" s="17" t="s">
        <v>171</v>
      </c>
      <c r="F113" s="18">
        <f>0.484-0.074</f>
        <v>0.41</v>
      </c>
      <c r="G113" s="19">
        <v>3200</v>
      </c>
      <c r="H113" s="22" t="s">
        <v>172</v>
      </c>
    </row>
    <row r="114" spans="1:8" ht="12.2" customHeight="1" thickBot="1">
      <c r="A114" s="8" t="s">
        <v>166</v>
      </c>
      <c r="B114" s="9">
        <f>0.35-0.076+0.21-0.078-0.132</f>
        <v>0.27399999999999997</v>
      </c>
      <c r="C114" s="10">
        <v>18000</v>
      </c>
      <c r="D114" s="21" t="s">
        <v>167</v>
      </c>
      <c r="E114" s="14" t="s">
        <v>113</v>
      </c>
      <c r="F114" s="18">
        <f>1.052</f>
        <v>1.052</v>
      </c>
      <c r="G114" s="19">
        <v>8000</v>
      </c>
      <c r="H114" s="52" t="s">
        <v>112</v>
      </c>
    </row>
    <row r="115" spans="1:8" ht="12.2" customHeight="1" thickBot="1">
      <c r="A115" s="8" t="s">
        <v>168</v>
      </c>
      <c r="B115" s="9">
        <f>0.33-0.158-0.017+0.177-0.093</f>
        <v>0.23900000000000002</v>
      </c>
      <c r="C115" s="10">
        <v>18000</v>
      </c>
      <c r="D115" s="21" t="s">
        <v>169</v>
      </c>
      <c r="E115" s="54" t="s">
        <v>126</v>
      </c>
      <c r="F115" s="55">
        <f>0.44-0.037-0.028-0.045</f>
        <v>0.33</v>
      </c>
      <c r="G115" s="56">
        <v>7000</v>
      </c>
      <c r="H115" s="58" t="s">
        <v>193</v>
      </c>
    </row>
    <row r="116" spans="1:8" ht="12.2" customHeight="1">
      <c r="A116" s="8" t="s">
        <v>46</v>
      </c>
      <c r="B116" s="9">
        <f>0.286-0.1-0.097</f>
        <v>8.8999999999999968E-2</v>
      </c>
      <c r="C116" s="10">
        <v>18000</v>
      </c>
      <c r="D116" s="21">
        <v>1.7</v>
      </c>
      <c r="E116" s="11" t="s">
        <v>192</v>
      </c>
      <c r="F116" s="12">
        <f>0.371-0.186</f>
        <v>0.185</v>
      </c>
      <c r="G116" s="13">
        <v>16500</v>
      </c>
      <c r="H116" s="23">
        <v>2900</v>
      </c>
    </row>
    <row r="117" spans="1:8" ht="12.2" customHeight="1">
      <c r="A117" s="8" t="s">
        <v>33</v>
      </c>
      <c r="B117" s="9">
        <f>0.38+0.143-0.38</f>
        <v>0.14300000000000002</v>
      </c>
      <c r="C117" s="10">
        <v>18000</v>
      </c>
      <c r="D117" s="21">
        <v>2.2999999999999998</v>
      </c>
      <c r="E117" s="27" t="s">
        <v>333</v>
      </c>
      <c r="F117" s="28">
        <f>1</f>
        <v>1</v>
      </c>
      <c r="G117" s="13">
        <v>16500</v>
      </c>
      <c r="H117" s="30" t="s">
        <v>30</v>
      </c>
    </row>
    <row r="118" spans="1:8" ht="12.2" customHeight="1">
      <c r="A118" s="8" t="s">
        <v>319</v>
      </c>
      <c r="B118" s="9">
        <f>0.658</f>
        <v>0.65800000000000003</v>
      </c>
      <c r="C118" s="10">
        <v>18000</v>
      </c>
      <c r="D118" s="21" t="s">
        <v>320</v>
      </c>
      <c r="E118" s="8" t="s">
        <v>183</v>
      </c>
      <c r="F118" s="9">
        <f>1</f>
        <v>1</v>
      </c>
      <c r="G118" s="10">
        <v>17000</v>
      </c>
      <c r="H118" s="21" t="s">
        <v>30</v>
      </c>
    </row>
    <row r="119" spans="1:8" ht="12.2" customHeight="1">
      <c r="A119" s="8" t="s">
        <v>322</v>
      </c>
      <c r="B119" s="9">
        <f>0.593-0.43-0.016</f>
        <v>0.14699999999999996</v>
      </c>
      <c r="C119" s="10">
        <v>18000</v>
      </c>
      <c r="D119" s="21">
        <v>1.37</v>
      </c>
      <c r="E119" s="8" t="s">
        <v>343</v>
      </c>
      <c r="F119" s="9">
        <f>1.93-0.202-0.544-0.217-0.217-0.217</f>
        <v>0.53300000000000003</v>
      </c>
      <c r="G119" s="10">
        <v>17000</v>
      </c>
      <c r="H119" s="21">
        <v>0.9</v>
      </c>
    </row>
    <row r="120" spans="1:8" ht="12.2" customHeight="1" thickBot="1">
      <c r="A120" s="14" t="s">
        <v>323</v>
      </c>
      <c r="B120" s="15">
        <f>0.896-0.447-0.055</f>
        <v>0.39400000000000002</v>
      </c>
      <c r="C120" s="16">
        <v>18000</v>
      </c>
      <c r="D120" s="24">
        <v>2.48</v>
      </c>
      <c r="E120" s="8" t="s">
        <v>191</v>
      </c>
      <c r="F120" s="9">
        <f>0.544+0.217+0.217+0.217-0.296-0.217</f>
        <v>0.68200000000000005</v>
      </c>
      <c r="G120" s="10">
        <v>17000</v>
      </c>
      <c r="H120" s="21" t="s">
        <v>359</v>
      </c>
    </row>
    <row r="121" spans="1:8" ht="12.2" customHeight="1">
      <c r="A121" s="11" t="s">
        <v>134</v>
      </c>
      <c r="B121" s="12">
        <f>0.1+0.124-0.029-0.033-0.073</f>
        <v>8.900000000000001E-2</v>
      </c>
      <c r="C121" s="13">
        <v>16000</v>
      </c>
      <c r="D121" s="23" t="s">
        <v>131</v>
      </c>
      <c r="E121" s="8" t="s">
        <v>184</v>
      </c>
      <c r="F121" s="9">
        <f>1</f>
        <v>1</v>
      </c>
      <c r="G121" s="29">
        <v>17000</v>
      </c>
      <c r="H121" s="21" t="s">
        <v>30</v>
      </c>
    </row>
    <row r="122" spans="1:8" ht="12.2" customHeight="1">
      <c r="A122" s="11" t="s">
        <v>92</v>
      </c>
      <c r="B122" s="12">
        <f>0.108-0.042-0.015+0.802-0.146-0.201-0.06-0.049-0.075+0.125-0.032-0.162-0.048-0.032-0.025-0.03-0.081</f>
        <v>3.7000000000000019E-2</v>
      </c>
      <c r="C122" s="13">
        <v>16000</v>
      </c>
      <c r="D122" s="21" t="s">
        <v>358</v>
      </c>
      <c r="E122" s="8" t="s">
        <v>185</v>
      </c>
      <c r="F122" s="9">
        <f>0.162</f>
        <v>0.16200000000000001</v>
      </c>
      <c r="G122" s="10">
        <v>17000</v>
      </c>
      <c r="H122" s="21">
        <v>970</v>
      </c>
    </row>
    <row r="123" spans="1:8" ht="12.2" customHeight="1" thickBot="1">
      <c r="A123" s="8" t="s">
        <v>146</v>
      </c>
      <c r="B123" s="9">
        <f>0.091</f>
        <v>9.0999999999999998E-2</v>
      </c>
      <c r="C123" s="13">
        <v>16000</v>
      </c>
      <c r="D123" s="21" t="s">
        <v>147</v>
      </c>
      <c r="E123" s="14" t="s">
        <v>186</v>
      </c>
      <c r="F123" s="15">
        <f>1</f>
        <v>1</v>
      </c>
      <c r="G123" s="16">
        <v>17000</v>
      </c>
      <c r="H123" s="24" t="s">
        <v>30</v>
      </c>
    </row>
    <row r="124" spans="1:8" ht="12.2" customHeight="1">
      <c r="A124" s="8" t="s">
        <v>91</v>
      </c>
      <c r="B124" s="9">
        <f>0.496+0.413-0.169-0.275</f>
        <v>0.46499999999999997</v>
      </c>
      <c r="C124" s="13">
        <v>16000</v>
      </c>
      <c r="D124" s="21" t="s">
        <v>133</v>
      </c>
      <c r="E124" s="8" t="s">
        <v>196</v>
      </c>
      <c r="F124" s="9">
        <f>1</f>
        <v>1</v>
      </c>
      <c r="G124" s="10">
        <v>17000</v>
      </c>
      <c r="H124" s="21" t="s">
        <v>30</v>
      </c>
    </row>
    <row r="125" spans="1:8" ht="12.2" customHeight="1" thickBot="1">
      <c r="A125" s="8" t="s">
        <v>135</v>
      </c>
      <c r="B125" s="9">
        <f>1</f>
        <v>1</v>
      </c>
      <c r="C125" s="13">
        <v>16000</v>
      </c>
      <c r="D125" s="21" t="s">
        <v>30</v>
      </c>
      <c r="E125" s="17" t="s">
        <v>203</v>
      </c>
      <c r="F125" s="18">
        <f>0.172-0.086</f>
        <v>8.5999999999999993E-2</v>
      </c>
      <c r="G125" s="19">
        <v>17000</v>
      </c>
      <c r="H125" s="22" t="s">
        <v>195</v>
      </c>
    </row>
    <row r="126" spans="1:8" ht="12.2" customHeight="1" thickBot="1">
      <c r="A126" s="17" t="s">
        <v>42</v>
      </c>
      <c r="B126" s="18">
        <f>0.318</f>
        <v>0.318</v>
      </c>
      <c r="C126" s="19">
        <v>16000</v>
      </c>
      <c r="D126" s="22" t="s">
        <v>372</v>
      </c>
      <c r="E126" s="14" t="s">
        <v>209</v>
      </c>
      <c r="F126" s="15">
        <f>0.054</f>
        <v>5.3999999999999999E-2</v>
      </c>
      <c r="G126" s="16">
        <v>8200</v>
      </c>
      <c r="H126" s="42" t="s">
        <v>210</v>
      </c>
    </row>
    <row r="127" spans="1:8" ht="12.2" customHeight="1">
      <c r="A127" s="11" t="s">
        <v>205</v>
      </c>
      <c r="B127" s="12">
        <f>0.556-0.002</f>
        <v>0.55400000000000005</v>
      </c>
      <c r="C127" s="13">
        <v>39000</v>
      </c>
      <c r="D127" s="23" t="s">
        <v>206</v>
      </c>
    </row>
    <row r="128" spans="1:8" ht="12.2" customHeight="1">
      <c r="A128" s="11" t="s">
        <v>118</v>
      </c>
      <c r="B128" s="12">
        <f>1</f>
        <v>1</v>
      </c>
      <c r="C128" s="13">
        <v>39000</v>
      </c>
      <c r="D128" s="23" t="s">
        <v>30</v>
      </c>
    </row>
    <row r="129" spans="1:4" ht="12.2" customHeight="1">
      <c r="A129" s="8" t="s">
        <v>246</v>
      </c>
      <c r="B129" s="9">
        <f>1</f>
        <v>1</v>
      </c>
      <c r="C129" s="10">
        <v>39000</v>
      </c>
      <c r="D129" s="21" t="s">
        <v>30</v>
      </c>
    </row>
    <row r="130" spans="1:4" ht="12.2" customHeight="1"/>
    <row r="131" spans="1:4" ht="12.2" customHeight="1"/>
    <row r="132" spans="1:4" ht="12.2" customHeight="1"/>
    <row r="133" spans="1:4" ht="12.2" customHeight="1"/>
    <row r="134" spans="1:4" ht="12.2" customHeight="1"/>
    <row r="135" spans="1:4" ht="12.2" customHeight="1"/>
    <row r="136" spans="1:4" ht="12.2" customHeight="1"/>
    <row r="137" spans="1:4" ht="12.2" customHeight="1"/>
    <row r="138" spans="1:4" ht="12.2" customHeight="1"/>
    <row r="139" spans="1:4" ht="12.2" customHeight="1"/>
    <row r="140" spans="1:4" ht="12.2" customHeight="1"/>
    <row r="141" spans="1:4" ht="12.2" customHeight="1"/>
    <row r="142" spans="1:4" ht="12.2" customHeight="1"/>
    <row r="143" spans="1:4" ht="12.2" customHeight="1"/>
    <row r="144" spans="1:4" ht="12.2" customHeight="1"/>
    <row r="145" ht="12.2" customHeight="1"/>
    <row r="146" ht="12.2" customHeight="1"/>
    <row r="147" ht="12.2" customHeight="1"/>
    <row r="148" ht="12.2" customHeight="1"/>
    <row r="149" ht="12.2" customHeight="1"/>
    <row r="150" ht="12.2" customHeight="1"/>
    <row r="151" ht="12.2" customHeight="1"/>
    <row r="152" ht="12.2" customHeight="1"/>
    <row r="153" ht="12.2" customHeight="1"/>
    <row r="154" ht="12.2" customHeight="1"/>
    <row r="155" ht="12.2" customHeight="1"/>
    <row r="156" ht="12.2" customHeight="1"/>
    <row r="157" ht="12.2" customHeight="1"/>
    <row r="158" ht="12.2" customHeight="1"/>
    <row r="159" ht="12.2" customHeight="1"/>
    <row r="160" ht="12.2" customHeight="1"/>
    <row r="161" ht="12.2" customHeight="1"/>
    <row r="162" ht="12.2" customHeight="1"/>
    <row r="163" ht="12.2" customHeight="1"/>
    <row r="164" ht="12.2" customHeight="1"/>
    <row r="165" ht="12.2" customHeight="1"/>
    <row r="166" ht="12.2" customHeight="1"/>
    <row r="167" ht="12.2" customHeight="1"/>
    <row r="168" ht="12.2" customHeight="1"/>
    <row r="169" ht="12.2" customHeight="1"/>
    <row r="170" ht="12.2" customHeight="1"/>
    <row r="171" ht="12.2" customHeight="1"/>
    <row r="172" ht="12.2" customHeight="1"/>
    <row r="173" ht="12.2" customHeight="1"/>
    <row r="174" ht="12.2" customHeight="1"/>
    <row r="175" ht="12.2" customHeight="1"/>
    <row r="176" ht="12.2" customHeight="1"/>
    <row r="177" ht="12.2" customHeight="1"/>
    <row r="178" ht="12.2" customHeight="1"/>
    <row r="179" ht="12.2" customHeight="1"/>
    <row r="180" ht="12.2" customHeight="1"/>
    <row r="181" ht="12.2" customHeight="1"/>
    <row r="182" ht="12.2" customHeight="1"/>
    <row r="183" ht="12.2" customHeight="1"/>
    <row r="184" ht="12.2" customHeight="1"/>
    <row r="185" ht="12.2" customHeight="1"/>
    <row r="186" ht="12.2" customHeight="1"/>
    <row r="187" ht="12.2" customHeight="1"/>
    <row r="188" ht="12.2" customHeight="1"/>
    <row r="189" ht="12.2" customHeight="1"/>
    <row r="190" ht="12.2" customHeight="1"/>
    <row r="191" ht="12.2" customHeight="1"/>
    <row r="192" ht="12.2" customHeight="1"/>
    <row r="193" ht="12.2" customHeight="1"/>
    <row r="194" ht="12.2" customHeight="1"/>
    <row r="195" ht="12.2" customHeight="1"/>
    <row r="196" ht="12.2" customHeight="1"/>
    <row r="197" ht="12.2" customHeight="1"/>
    <row r="198" ht="12.2" customHeight="1"/>
    <row r="199" ht="12.2" customHeight="1"/>
    <row r="200" ht="12.2" customHeight="1"/>
    <row r="201" ht="12.2" customHeight="1"/>
    <row r="202" ht="12.2" customHeight="1"/>
    <row r="203" ht="12.2" customHeight="1"/>
    <row r="204" ht="12.2" customHeight="1"/>
    <row r="205" ht="12.2" customHeight="1"/>
    <row r="206" ht="12.2" customHeight="1"/>
    <row r="207" ht="12.2" customHeight="1"/>
    <row r="208" ht="12.2" customHeight="1"/>
    <row r="209" ht="12.2" customHeight="1"/>
    <row r="210" ht="12.2" customHeight="1"/>
    <row r="211" ht="12.2" customHeight="1"/>
    <row r="212" ht="12.2" customHeight="1"/>
    <row r="213" ht="12.2" customHeight="1"/>
    <row r="214" ht="12.2" customHeight="1"/>
    <row r="215" ht="12.2" customHeight="1"/>
    <row r="216" ht="12.2" customHeight="1"/>
    <row r="217" ht="12.2" customHeight="1"/>
    <row r="218" ht="12.2" customHeight="1"/>
    <row r="219" ht="12.2" customHeight="1"/>
    <row r="220" ht="12.2" customHeight="1"/>
    <row r="221" ht="12.2" customHeight="1"/>
    <row r="222" ht="12.2" customHeight="1"/>
    <row r="223" ht="12.2" customHeight="1"/>
    <row r="224" ht="12.2" customHeight="1"/>
    <row r="225" ht="12.2" customHeight="1"/>
    <row r="226" ht="12.2" customHeight="1"/>
    <row r="227" ht="12.2" customHeight="1"/>
    <row r="228" ht="12.2" customHeight="1"/>
    <row r="229" ht="12.2" customHeight="1"/>
    <row r="230" ht="12.2" customHeight="1"/>
    <row r="231" ht="12.2" customHeight="1"/>
    <row r="232" ht="12.2" customHeight="1"/>
    <row r="233" ht="12.2" customHeight="1"/>
    <row r="234" ht="12.2" customHeight="1"/>
    <row r="235" ht="12.2" customHeight="1"/>
    <row r="236" ht="12.2" customHeight="1"/>
    <row r="237" ht="12.2" customHeight="1"/>
    <row r="238" ht="12.2" customHeight="1"/>
    <row r="239" ht="12.2" customHeight="1"/>
    <row r="240" ht="12.2" customHeight="1"/>
    <row r="241" ht="12.2" customHeight="1"/>
    <row r="242" ht="12.2" customHeight="1"/>
    <row r="243" ht="12.2" customHeight="1"/>
    <row r="244" ht="12.2" customHeight="1"/>
  </sheetData>
  <pageMargins left="0.23" right="2.0833333333333332E-2" top="0.16666666666666666" bottom="0.75" header="0.3" footer="0.3"/>
  <pageSetup paperSize="9" scale="96" orientation="portrait" verticalDpi="300" r:id="rId1"/>
  <ignoredErrors>
    <ignoredError sqref="F66 B112 F73 F83 B68 B56 B76 B101 F77 B92 B121 B54 B103 F94 B49 B105 F122 B84 B96 B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2025-04-01T05:46:42Z</dcterms:modified>
</cp:coreProperties>
</file>